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Operações" sheetId="2" state="visible" r:id="rId2"/>
    <sheet xmlns:r="http://schemas.openxmlformats.org/officeDocument/2006/relationships" name="Resumo Mensal" sheetId="3" state="visible" r:id="rId3"/>
    <sheet xmlns:r="http://schemas.openxmlformats.org/officeDocument/2006/relationships" name="Métricas" sheetId="4" state="visible" r:id="rId4"/>
    <sheet xmlns:r="http://schemas.openxmlformats.org/officeDocument/2006/relationships" name="Configuraçõe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"/>
    <numFmt numFmtId="165" formatCode="dd/mm/yyyy"/>
    <numFmt numFmtId="166" formatCode="_-&quot;R$&quot; * #,##0.00_-;[Red]-&quot;R$&quot; * #,##0.00_-;_-&quot;R$&quot; * &quot;-&quot;??_-;_-@_-"/>
    <numFmt numFmtId="167" formatCode="#,##0.00000000"/>
  </numFmts>
  <fonts count="11">
    <font>
      <name val="Calibri"/>
      <family val="2"/>
      <color theme="1"/>
      <sz val="11"/>
      <scheme val="minor"/>
    </font>
    <font>
      <name val="Arial"/>
      <b val="1"/>
      <color rgb="001D4ED8"/>
      <sz val="14"/>
    </font>
    <font>
      <name val="Arial"/>
      <i val="1"/>
      <color rgb="006B7390"/>
      <sz val="9"/>
    </font>
    <font>
      <name val="Arial"/>
      <b val="1"/>
      <color rgb="00FFFFFF"/>
      <sz val="10"/>
    </font>
    <font>
      <name val="Arial"/>
      <color rgb="000A1428"/>
      <sz val="10"/>
    </font>
    <font>
      <name val="Arial"/>
      <b val="1"/>
      <color rgb="001D4ED8"/>
      <sz val="11"/>
    </font>
    <font>
      <name val="Arial"/>
      <b val="1"/>
      <color rgb="001D4ED8"/>
      <sz val="18"/>
    </font>
    <font>
      <name val="Arial"/>
      <i val="1"/>
      <color rgb="006B7390"/>
      <sz val="10"/>
    </font>
    <font>
      <name val="Arial"/>
      <b val="1"/>
      <color rgb="00FFFFFF"/>
      <sz val="9"/>
    </font>
    <font>
      <name val="Arial"/>
      <b val="1"/>
      <color rgb="001D4ED8"/>
      <sz val="20"/>
    </font>
    <font>
      <name val="Arial"/>
      <color rgb="000A1428"/>
      <sz val="11"/>
    </font>
  </fonts>
  <fills count="7">
    <fill>
      <patternFill/>
    </fill>
    <fill>
      <patternFill patternType="gray125"/>
    </fill>
    <fill>
      <patternFill patternType="solid">
        <fgColor rgb="000A1428"/>
      </patternFill>
    </fill>
    <fill>
      <patternFill patternType="solid">
        <fgColor rgb="00FFFFFF"/>
      </patternFill>
    </fill>
    <fill>
      <patternFill patternType="solid">
        <fgColor rgb="00EEF1F7"/>
      </patternFill>
    </fill>
    <fill>
      <patternFill patternType="solid">
        <fgColor rgb="001D4ED8"/>
      </patternFill>
    </fill>
    <fill>
      <patternFill patternType="solid">
        <fgColor rgb="00F0F5FF"/>
      </patternFill>
    </fill>
  </fills>
  <borders count="3">
    <border>
      <left/>
      <right/>
      <top/>
      <bottom/>
      <diagonal/>
    </border>
    <border>
      <left style="thin">
        <color rgb="00D6DCEA"/>
      </left>
      <right style="thin">
        <color rgb="00D6DCEA"/>
      </right>
      <top style="thin">
        <color rgb="00D6DCEA"/>
      </top>
      <bottom style="thin">
        <color rgb="00D6DCEA"/>
      </bottom>
    </border>
    <border>
      <left style="thin">
        <color rgb="001D4ED8"/>
      </left>
      <right style="thin">
        <color rgb="001D4ED8"/>
      </right>
      <top style="thin">
        <color rgb="001D4ED8"/>
      </top>
      <bottom style="thin">
        <color rgb="001D4ED8"/>
      </bottom>
    </border>
  </borders>
  <cellStyleXfs count="1">
    <xf numFmtId="0" fontId="0" fillId="0" borderId="0"/>
  </cellStyleXfs>
  <cellXfs count="32">
    <xf numFmtId="0" fontId="0" fillId="0" borderId="0" pivotButton="0" quotePrefix="0" xfId="0"/>
    <xf numFmtId="0" fontId="6" fillId="0" borderId="0" applyAlignment="1" pivotButton="0" quotePrefix="0" xfId="0">
      <alignment vertical="center"/>
    </xf>
    <xf numFmtId="0" fontId="7" fillId="0" borderId="0" pivotButton="0" quotePrefix="0" xfId="0"/>
    <xf numFmtId="0" fontId="8" fillId="5" borderId="2" applyAlignment="1" pivotButton="0" quotePrefix="0" xfId="0">
      <alignment horizontal="center" vertical="center" wrapText="1"/>
    </xf>
    <xf numFmtId="1" fontId="9" fillId="6" borderId="2" applyAlignment="1" pivotButton="0" quotePrefix="0" xfId="0">
      <alignment horizontal="center" vertical="center"/>
    </xf>
    <xf numFmtId="10" fontId="9" fillId="6" borderId="2" applyAlignment="1" pivotButton="0" quotePrefix="0" xfId="0">
      <alignment horizontal="center" vertical="center"/>
    </xf>
    <xf numFmtId="2" fontId="9" fillId="6" borderId="2" applyAlignment="1" pivotButton="0" quotePrefix="0" xfId="0">
      <alignment horizontal="center" vertical="center"/>
    </xf>
    <xf numFmtId="166" fontId="9" fillId="6" borderId="2" applyAlignment="1" pivotButton="0" quotePrefix="0" xfId="0">
      <alignment horizontal="center" vertical="center"/>
    </xf>
    <xf numFmtId="0" fontId="1" fillId="0" borderId="0" pivotButton="0" quotePrefix="0" xfId="0"/>
    <xf numFmtId="0" fontId="10" fillId="0" borderId="0" applyAlignment="1" pivotButton="0" quotePrefix="0" xfId="0">
      <alignment vertical="center" wrapText="1"/>
    </xf>
    <xf numFmtId="0" fontId="2" fillId="0" borderId="0" applyAlignment="1" pivotButton="0" quotePrefix="0" xfId="0">
      <alignment vertical="center" wrapText="1"/>
    </xf>
    <xf numFmtId="0" fontId="1" fillId="0" borderId="0" applyAlignment="1" pivotButton="0" quotePrefix="0" xfId="0">
      <alignment vertical="center"/>
    </xf>
    <xf numFmtId="0" fontId="2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165" fontId="4" fillId="3" borderId="1" applyAlignment="1" pivotButton="0" quotePrefix="0" xfId="0">
      <alignment horizontal="center" vertical="center"/>
    </xf>
    <xf numFmtId="0" fontId="4" fillId="3" borderId="1" applyAlignment="1" pivotButton="0" quotePrefix="0" xfId="0">
      <alignment horizontal="center" vertical="center"/>
    </xf>
    <xf numFmtId="166" fontId="4" fillId="3" borderId="1" applyAlignment="1" pivotButton="0" quotePrefix="0" xfId="0">
      <alignment horizontal="center" vertical="center"/>
    </xf>
    <xf numFmtId="167" fontId="4" fillId="3" borderId="1" applyAlignment="1" pivotButton="0" quotePrefix="0" xfId="0">
      <alignment horizontal="center" vertical="center"/>
    </xf>
    <xf numFmtId="166" fontId="4" fillId="4" borderId="1" applyAlignment="1" pivotButton="0" quotePrefix="0" xfId="0">
      <alignment horizontal="center" vertical="center"/>
    </xf>
    <xf numFmtId="10" fontId="4" fillId="4" borderId="1" applyAlignment="1" pivotButton="0" quotePrefix="0" xfId="0">
      <alignment horizontal="center" vertical="center"/>
    </xf>
    <xf numFmtId="2" fontId="4" fillId="4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center" vertical="center"/>
    </xf>
    <xf numFmtId="0" fontId="3" fillId="5" borderId="1" applyAlignment="1" pivotButton="0" quotePrefix="0" xfId="0">
      <alignment horizontal="center" vertical="center"/>
    </xf>
    <xf numFmtId="10" fontId="3" fillId="5" borderId="1" applyAlignment="1" pivotButton="0" quotePrefix="0" xfId="0">
      <alignment horizontal="center" vertical="center"/>
    </xf>
    <xf numFmtId="166" fontId="3" fillId="5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left" vertical="center" indent="1"/>
    </xf>
    <xf numFmtId="1" fontId="5" fillId="4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left" vertical="center" wrapText="1" indent="1"/>
    </xf>
    <xf numFmtId="10" fontId="5" fillId="4" borderId="1" applyAlignment="1" pivotButton="0" quotePrefix="0" xfId="0">
      <alignment horizontal="center" vertical="center"/>
    </xf>
    <xf numFmtId="166" fontId="5" fillId="4" borderId="1" applyAlignment="1" pivotButton="0" quotePrefix="0" xfId="0">
      <alignment horizontal="center" vertical="center"/>
    </xf>
    <xf numFmtId="2" fontId="5" fillId="4" borderId="1" applyAlignment="1" pivotButton="0" quotePrefix="0" xfId="0">
      <alignment horizontal="center" vertical="center"/>
    </xf>
    <xf numFmtId="0" fontId="7" fillId="0" borderId="0" applyAlignment="1" pivotButton="0" quotePrefix="0" xfId="0">
      <alignment vertical="center" wrapText="1"/>
    </xf>
  </cellXfs>
  <cellStyles count="1">
    <cellStyle name="Normal" xfId="0" builtinId="0" hidden="0"/>
  </cellStyles>
  <dxfs count="4">
    <dxf>
      <font>
        <b val="1"/>
        <color rgb="000F6B3A"/>
      </font>
      <fill>
        <patternFill patternType="solid">
          <fgColor rgb="00D1FAE5"/>
        </patternFill>
      </fill>
    </dxf>
    <dxf>
      <font>
        <b val="1"/>
        <color rgb="009B1C1C"/>
      </font>
      <fill>
        <patternFill patternType="solid">
          <fgColor rgb="00FEE2E2"/>
        </patternFill>
      </fill>
    </dxf>
    <dxf>
      <font>
        <b val="1"/>
        <color rgb="000F6B3A"/>
      </font>
    </dxf>
    <dxf>
      <font>
        <b val="1"/>
        <color rgb="009B1C1C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style val="11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Resultado Mensal (R$)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'Resumo Mensal'!F4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'Resumo Mensal'!$A$5:$A$16</f>
            </numRef>
          </cat>
          <val>
            <numRef>
              <f>'Resumo Mensal'!$F$5:$F$16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Mês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R$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9</col>
      <colOff>0</colOff>
      <row>3</row>
      <rowOff>0</rowOff>
    </from>
    <ext cx="648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</cols>
  <sheetData>
    <row r="1" ht="32" customHeight="1">
      <c r="A1" s="1" t="inlineStr">
        <is>
          <t>AInvesting Pro — Dashboard de Performance</t>
        </is>
      </c>
    </row>
    <row r="2">
      <c r="A2" s="2" t="inlineStr">
        <is>
          <t>Visão consolidada das suas operações. Atualiza automaticamente conforme você preenche a aba Operações.</t>
        </is>
      </c>
    </row>
    <row r="4" ht="30" customHeight="1">
      <c r="A4" s="3" t="inlineStr">
        <is>
          <t>Total de Operações</t>
        </is>
      </c>
      <c r="B4" s="3" t="inlineStr">
        <is>
          <t>Win Rate</t>
        </is>
      </c>
      <c r="C4" s="3" t="inlineStr">
        <is>
          <t>Profit Factor</t>
        </is>
      </c>
      <c r="D4" s="3" t="inlineStr">
        <is>
          <t>Expectativa (R$)</t>
        </is>
      </c>
      <c r="E4" s="3" t="inlineStr">
        <is>
          <t>Resultado (R$)</t>
        </is>
      </c>
    </row>
    <row r="5" ht="50" customHeight="1">
      <c r="A5" s="4">
        <f>Métricas!B5</f>
        <v/>
      </c>
      <c r="B5" s="5">
        <f>Métricas!B8</f>
        <v/>
      </c>
      <c r="C5" s="6">
        <f>Métricas!B11</f>
        <v/>
      </c>
      <c r="D5" s="7">
        <f>Métricas!B15</f>
        <v/>
      </c>
      <c r="E5" s="7">
        <f>Métricas!B11</f>
        <v/>
      </c>
    </row>
    <row r="8">
      <c r="A8" s="8" t="inlineStr">
        <is>
          <t>Como usar esta planilha</t>
        </is>
      </c>
    </row>
    <row r="9" ht="22" customHeight="1">
      <c r="A9" s="9" t="inlineStr">
        <is>
          <t>1. Vá à aba 'Operações' e preencha cada operação que realizar (apenas células brancas).</t>
        </is>
      </c>
    </row>
    <row r="10" ht="22" customHeight="1">
      <c r="A10" s="9" t="inlineStr">
        <is>
          <t>2. Preencha pelo menos: Data, Ativo, Preço de Entrada e Quantidade. O Capital Alocado é calculado.</t>
        </is>
      </c>
    </row>
    <row r="11" ht="22" customHeight="1">
      <c r="A11" s="9" t="inlineStr">
        <is>
          <t>3. Ao fechar a operação, preencha o Preço de Saída — o Resultado é calculado automaticamente.</t>
        </is>
      </c>
    </row>
    <row r="12" ht="22" customHeight="1">
      <c r="A12" s="9" t="inlineStr">
        <is>
          <t>4. Stop Loss e Take Profit são opcionais mas alimentam o cálculo de R-Múltiplo (importante).</t>
        </is>
      </c>
    </row>
    <row r="13" ht="22" customHeight="1">
      <c r="A13" s="9" t="inlineStr">
        <is>
          <t>5. Aba 'Resumo Mensal' mostra agregação por mês. Aba 'Métricas' traz indicadores estatísticos.</t>
        </is>
      </c>
    </row>
    <row r="14" ht="22" customHeight="1">
      <c r="A14" s="9" t="inlineStr">
        <is>
          <t>6. Para adicionar novos ativos à lista do dropdown, vá na aba 'Configurações'.</t>
        </is>
      </c>
    </row>
    <row r="15" ht="22" customHeight="1">
      <c r="A15" s="9" t="inlineStr">
        <is>
          <t>7. Lembre-se: vendas acima de R$ 35.000/mês com lucro são tributáveis (DARF 4600).</t>
        </is>
      </c>
    </row>
    <row r="16" ht="22" customHeight="1">
      <c r="A16" s="9" t="inlineStr">
        <is>
          <t>8. Esta planilha é educacional. Para fins fiscais relevantes, consulte um contador.</t>
        </is>
      </c>
    </row>
    <row r="19">
      <c r="A19" s="10" t="inlineStr">
        <is>
          <t>AInvesting Pro Academy — Módulo 1 — Material complementar. Este conteúdo é exclusivamente educacional e não constitui recomendação de investimento.</t>
        </is>
      </c>
    </row>
  </sheetData>
  <mergeCells count="12">
    <mergeCell ref="A2:F2"/>
    <mergeCell ref="A11:F11"/>
    <mergeCell ref="A16:F16"/>
    <mergeCell ref="A10:F10"/>
    <mergeCell ref="A13:F13"/>
    <mergeCell ref="A14:F14"/>
    <mergeCell ref="A19:F19"/>
    <mergeCell ref="A1:F1"/>
    <mergeCell ref="A9:F9"/>
    <mergeCell ref="A8:F8"/>
    <mergeCell ref="A12:F12"/>
    <mergeCell ref="A15:F1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P10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1" customWidth="1" min="2" max="2"/>
    <col width="12" customWidth="1" min="3" max="3"/>
    <col width="11" customWidth="1" min="4" max="4"/>
    <col width="14" customWidth="1" min="5" max="5"/>
    <col width="12" customWidth="1" min="6" max="6"/>
    <col width="18" customWidth="1" min="7" max="7"/>
    <col width="13" customWidth="1" min="8" max="8"/>
    <col width="13" customWidth="1" min="9" max="9"/>
    <col width="13" customWidth="1" min="10" max="10"/>
    <col width="16" customWidth="1" min="11" max="11"/>
    <col width="14" customWidth="1" min="12" max="12"/>
    <col width="11" customWidth="1" min="13" max="13"/>
    <col width="12" customWidth="1" min="14" max="14"/>
    <col width="12" customWidth="1" min="15" max="15"/>
    <col width="30" customWidth="1" min="16" max="16"/>
  </cols>
  <sheetData>
    <row r="1" ht="26" customHeight="1">
      <c r="A1" s="11" t="inlineStr">
        <is>
          <t>AInvesting Pro — Log de Operações</t>
        </is>
      </c>
    </row>
    <row r="2">
      <c r="A2" s="12" t="inlineStr">
        <is>
          <t>Preencha apenas as colunas em fundo branco. As demais são calculadas automaticamente.</t>
        </is>
      </c>
    </row>
    <row r="4" ht="36" customHeight="1">
      <c r="A4" s="13" t="inlineStr">
        <is>
          <t>Data</t>
        </is>
      </c>
      <c r="B4" s="13" t="inlineStr">
        <is>
          <t>Ativo</t>
        </is>
      </c>
      <c r="C4" s="13" t="inlineStr">
        <is>
          <t>Operação</t>
        </is>
      </c>
      <c r="D4" s="13" t="inlineStr">
        <is>
          <t>Direção</t>
        </is>
      </c>
      <c r="E4" s="13" t="inlineStr">
        <is>
          <t>Preço Entrada</t>
        </is>
      </c>
      <c r="F4" s="13" t="inlineStr">
        <is>
          <t>Quantidade</t>
        </is>
      </c>
      <c r="G4" s="13" t="inlineStr">
        <is>
          <t>Capital Alocado (R$)</t>
        </is>
      </c>
      <c r="H4" s="13" t="inlineStr">
        <is>
          <t>Stop Loss</t>
        </is>
      </c>
      <c r="I4" s="13" t="inlineStr">
        <is>
          <t>Take Profit</t>
        </is>
      </c>
      <c r="J4" s="13" t="inlineStr">
        <is>
          <t>Preço Saída</t>
        </is>
      </c>
      <c r="K4" s="13" t="inlineStr">
        <is>
          <t>Resultado (R$)</t>
        </is>
      </c>
      <c r="L4" s="13" t="inlineStr">
        <is>
          <t>Resultado (%)</t>
        </is>
      </c>
      <c r="M4" s="13" t="inlineStr">
        <is>
          <t>Risco (R)</t>
        </is>
      </c>
      <c r="N4" s="13" t="inlineStr">
        <is>
          <t>R-Múltiplo</t>
        </is>
      </c>
      <c r="O4" s="13" t="inlineStr">
        <is>
          <t>Status</t>
        </is>
      </c>
      <c r="P4" s="13" t="inlineStr">
        <is>
          <t>Observações</t>
        </is>
      </c>
    </row>
    <row r="5">
      <c r="A5" s="14" t="n">
        <v>46032</v>
      </c>
      <c r="B5" s="15" t="inlineStr">
        <is>
          <t>BTC</t>
        </is>
      </c>
      <c r="C5" s="15" t="inlineStr">
        <is>
          <t>Spot</t>
        </is>
      </c>
      <c r="D5" s="15" t="inlineStr">
        <is>
          <t>Long</t>
        </is>
      </c>
      <c r="E5" s="16" t="n">
        <v>280000</v>
      </c>
      <c r="F5" s="17" t="n">
        <v>0.05</v>
      </c>
      <c r="G5" s="18">
        <f>IF(AND(E5&lt;&gt;"",F5&lt;&gt;""),E5*F5,"")</f>
        <v/>
      </c>
      <c r="H5" s="16" t="n">
        <v>270000</v>
      </c>
      <c r="I5" s="16" t="n">
        <v>310000</v>
      </c>
      <c r="J5" s="16" t="n">
        <v>305000</v>
      </c>
      <c r="K5" s="18">
        <f>IF(OR(E5="",F5="",J5=""),"",IF(D5="Short",(E5-J5)*F5,(J5-E5)*F5))</f>
        <v/>
      </c>
      <c r="L5" s="19">
        <f>IFERROR(K5/G5,"")</f>
        <v/>
      </c>
      <c r="M5" s="18">
        <f>IF(OR(E5="",H5="",F5=""),"",IF(D5="Short",(H5-E5)*F5,(E5-H5)*F5))</f>
        <v/>
      </c>
      <c r="N5" s="20">
        <f>IFERROR(K5/M5,"")</f>
        <v/>
      </c>
      <c r="O5" s="21">
        <f>IF(E5="","",IF(J5="","Aberta","Fechada"))</f>
        <v/>
      </c>
      <c r="P5" s="15" t="n"/>
    </row>
    <row r="6">
      <c r="A6" s="14" t="n">
        <v>46037</v>
      </c>
      <c r="B6" s="15" t="inlineStr">
        <is>
          <t>ETH</t>
        </is>
      </c>
      <c r="C6" s="15" t="inlineStr">
        <is>
          <t>Spot</t>
        </is>
      </c>
      <c r="D6" s="15" t="inlineStr">
        <is>
          <t>Long</t>
        </is>
      </c>
      <c r="E6" s="16" t="n">
        <v>12500</v>
      </c>
      <c r="F6" s="17" t="n">
        <v>0.8</v>
      </c>
      <c r="G6" s="18">
        <f>IF(AND(E6&lt;&gt;"",F6&lt;&gt;""),E6*F6,"")</f>
        <v/>
      </c>
      <c r="H6" s="16" t="n">
        <v>11800</v>
      </c>
      <c r="I6" s="16" t="n">
        <v>14000</v>
      </c>
      <c r="J6" s="16" t="n">
        <v>11700</v>
      </c>
      <c r="K6" s="18">
        <f>IF(OR(E6="",F6="",J6=""),"",IF(D6="Short",(E6-J6)*F6,(J6-E6)*F6))</f>
        <v/>
      </c>
      <c r="L6" s="19">
        <f>IFERROR(K6/G6,"")</f>
        <v/>
      </c>
      <c r="M6" s="18">
        <f>IF(OR(E6="",H6="",F6=""),"",IF(D6="Short",(H6-E6)*F6,(E6-H6)*F6))</f>
        <v/>
      </c>
      <c r="N6" s="20">
        <f>IFERROR(K6/M6,"")</f>
        <v/>
      </c>
      <c r="O6" s="21">
        <f>IF(E6="","",IF(J6="","Aberta","Fechada"))</f>
        <v/>
      </c>
      <c r="P6" s="15" t="n"/>
    </row>
    <row r="7">
      <c r="A7" s="14" t="n">
        <v>46056</v>
      </c>
      <c r="B7" s="15" t="inlineStr">
        <is>
          <t>SOL</t>
        </is>
      </c>
      <c r="C7" s="15" t="inlineStr">
        <is>
          <t>Spot</t>
        </is>
      </c>
      <c r="D7" s="15" t="inlineStr">
        <is>
          <t>Long</t>
        </is>
      </c>
      <c r="E7" s="16" t="n">
        <v>780</v>
      </c>
      <c r="F7" s="17" t="n">
        <v>12</v>
      </c>
      <c r="G7" s="18">
        <f>IF(AND(E7&lt;&gt;"",F7&lt;&gt;""),E7*F7,"")</f>
        <v/>
      </c>
      <c r="H7" s="16" t="n">
        <v>740</v>
      </c>
      <c r="I7" s="16" t="n">
        <v>950</v>
      </c>
      <c r="J7" s="16" t="n">
        <v>920</v>
      </c>
      <c r="K7" s="18">
        <f>IF(OR(E7="",F7="",J7=""),"",IF(D7="Short",(E7-J7)*F7,(J7-E7)*F7))</f>
        <v/>
      </c>
      <c r="L7" s="19">
        <f>IFERROR(K7/G7,"")</f>
        <v/>
      </c>
      <c r="M7" s="18">
        <f>IF(OR(E7="",H7="",F7=""),"",IF(D7="Short",(H7-E7)*F7,(E7-H7)*F7))</f>
        <v/>
      </c>
      <c r="N7" s="20">
        <f>IFERROR(K7/M7,"")</f>
        <v/>
      </c>
      <c r="O7" s="21">
        <f>IF(E7="","",IF(J7="","Aberta","Fechada"))</f>
        <v/>
      </c>
      <c r="P7" s="15" t="n"/>
    </row>
    <row r="8">
      <c r="A8" s="14" t="n"/>
      <c r="B8" s="15" t="n"/>
      <c r="C8" s="15" t="n"/>
      <c r="D8" s="15" t="n"/>
      <c r="E8" s="16" t="n"/>
      <c r="F8" s="17" t="n"/>
      <c r="G8" s="18">
        <f>IF(AND(E8&lt;&gt;"",F8&lt;&gt;""),E8*F8,"")</f>
        <v/>
      </c>
      <c r="H8" s="16" t="n"/>
      <c r="I8" s="16" t="n"/>
      <c r="J8" s="16" t="n"/>
      <c r="K8" s="18">
        <f>IF(OR(E8="",F8="",J8=""),"",IF(D8="Short",(E8-J8)*F8,(J8-E8)*F8))</f>
        <v/>
      </c>
      <c r="L8" s="19">
        <f>IFERROR(K8/G8,"")</f>
        <v/>
      </c>
      <c r="M8" s="18">
        <f>IF(OR(E8="",H8="",F8=""),"",IF(D8="Short",(H8-E8)*F8,(E8-H8)*F8))</f>
        <v/>
      </c>
      <c r="N8" s="20">
        <f>IFERROR(K8/M8,"")</f>
        <v/>
      </c>
      <c r="O8" s="21">
        <f>IF(E8="","",IF(J8="","Aberta","Fechada"))</f>
        <v/>
      </c>
      <c r="P8" s="15" t="n"/>
    </row>
    <row r="9">
      <c r="A9" s="14" t="n"/>
      <c r="B9" s="15" t="n"/>
      <c r="C9" s="15" t="n"/>
      <c r="D9" s="15" t="n"/>
      <c r="E9" s="16" t="n"/>
      <c r="F9" s="17" t="n"/>
      <c r="G9" s="18">
        <f>IF(AND(E9&lt;&gt;"",F9&lt;&gt;""),E9*F9,"")</f>
        <v/>
      </c>
      <c r="H9" s="16" t="n"/>
      <c r="I9" s="16" t="n"/>
      <c r="J9" s="16" t="n"/>
      <c r="K9" s="18">
        <f>IF(OR(E9="",F9="",J9=""),"",IF(D9="Short",(E9-J9)*F9,(J9-E9)*F9))</f>
        <v/>
      </c>
      <c r="L9" s="19">
        <f>IFERROR(K9/G9,"")</f>
        <v/>
      </c>
      <c r="M9" s="18">
        <f>IF(OR(E9="",H9="",F9=""),"",IF(D9="Short",(H9-E9)*F9,(E9-H9)*F9))</f>
        <v/>
      </c>
      <c r="N9" s="20">
        <f>IFERROR(K9/M9,"")</f>
        <v/>
      </c>
      <c r="O9" s="21">
        <f>IF(E9="","",IF(J9="","Aberta","Fechada"))</f>
        <v/>
      </c>
      <c r="P9" s="15" t="n"/>
    </row>
    <row r="10">
      <c r="A10" s="14" t="n"/>
      <c r="B10" s="15" t="n"/>
      <c r="C10" s="15" t="n"/>
      <c r="D10" s="15" t="n"/>
      <c r="E10" s="16" t="n"/>
      <c r="F10" s="17" t="n"/>
      <c r="G10" s="18">
        <f>IF(AND(E10&lt;&gt;"",F10&lt;&gt;""),E10*F10,"")</f>
        <v/>
      </c>
      <c r="H10" s="16" t="n"/>
      <c r="I10" s="16" t="n"/>
      <c r="J10" s="16" t="n"/>
      <c r="K10" s="18">
        <f>IF(OR(E10="",F10="",J10=""),"",IF(D10="Short",(E10-J10)*F10,(J10-E10)*F10))</f>
        <v/>
      </c>
      <c r="L10" s="19">
        <f>IFERROR(K10/G10,"")</f>
        <v/>
      </c>
      <c r="M10" s="18">
        <f>IF(OR(E10="",H10="",F10=""),"",IF(D10="Short",(H10-E10)*F10,(E10-H10)*F10))</f>
        <v/>
      </c>
      <c r="N10" s="20">
        <f>IFERROR(K10/M10,"")</f>
        <v/>
      </c>
      <c r="O10" s="21">
        <f>IF(E10="","",IF(J10="","Aberta","Fechada"))</f>
        <v/>
      </c>
      <c r="P10" s="15" t="n"/>
    </row>
    <row r="11">
      <c r="A11" s="14" t="n"/>
      <c r="B11" s="15" t="n"/>
      <c r="C11" s="15" t="n"/>
      <c r="D11" s="15" t="n"/>
      <c r="E11" s="16" t="n"/>
      <c r="F11" s="17" t="n"/>
      <c r="G11" s="18">
        <f>IF(AND(E11&lt;&gt;"",F11&lt;&gt;""),E11*F11,"")</f>
        <v/>
      </c>
      <c r="H11" s="16" t="n"/>
      <c r="I11" s="16" t="n"/>
      <c r="J11" s="16" t="n"/>
      <c r="K11" s="18">
        <f>IF(OR(E11="",F11="",J11=""),"",IF(D11="Short",(E11-J11)*F11,(J11-E11)*F11))</f>
        <v/>
      </c>
      <c r="L11" s="19">
        <f>IFERROR(K11/G11,"")</f>
        <v/>
      </c>
      <c r="M11" s="18">
        <f>IF(OR(E11="",H11="",F11=""),"",IF(D11="Short",(H11-E11)*F11,(E11-H11)*F11))</f>
        <v/>
      </c>
      <c r="N11" s="20">
        <f>IFERROR(K11/M11,"")</f>
        <v/>
      </c>
      <c r="O11" s="21">
        <f>IF(E11="","",IF(J11="","Aberta","Fechada"))</f>
        <v/>
      </c>
      <c r="P11" s="15" t="n"/>
    </row>
    <row r="12">
      <c r="A12" s="14" t="n"/>
      <c r="B12" s="15" t="n"/>
      <c r="C12" s="15" t="n"/>
      <c r="D12" s="15" t="n"/>
      <c r="E12" s="16" t="n"/>
      <c r="F12" s="17" t="n"/>
      <c r="G12" s="18">
        <f>IF(AND(E12&lt;&gt;"",F12&lt;&gt;""),E12*F12,"")</f>
        <v/>
      </c>
      <c r="H12" s="16" t="n"/>
      <c r="I12" s="16" t="n"/>
      <c r="J12" s="16" t="n"/>
      <c r="K12" s="18">
        <f>IF(OR(E12="",F12="",J12=""),"",IF(D12="Short",(E12-J12)*F12,(J12-E12)*F12))</f>
        <v/>
      </c>
      <c r="L12" s="19">
        <f>IFERROR(K12/G12,"")</f>
        <v/>
      </c>
      <c r="M12" s="18">
        <f>IF(OR(E12="",H12="",F12=""),"",IF(D12="Short",(H12-E12)*F12,(E12-H12)*F12))</f>
        <v/>
      </c>
      <c r="N12" s="20">
        <f>IFERROR(K12/M12,"")</f>
        <v/>
      </c>
      <c r="O12" s="21">
        <f>IF(E12="","",IF(J12="","Aberta","Fechada"))</f>
        <v/>
      </c>
      <c r="P12" s="15" t="n"/>
    </row>
    <row r="13">
      <c r="A13" s="14" t="n"/>
      <c r="B13" s="15" t="n"/>
      <c r="C13" s="15" t="n"/>
      <c r="D13" s="15" t="n"/>
      <c r="E13" s="16" t="n"/>
      <c r="F13" s="17" t="n"/>
      <c r="G13" s="18">
        <f>IF(AND(E13&lt;&gt;"",F13&lt;&gt;""),E13*F13,"")</f>
        <v/>
      </c>
      <c r="H13" s="16" t="n"/>
      <c r="I13" s="16" t="n"/>
      <c r="J13" s="16" t="n"/>
      <c r="K13" s="18">
        <f>IF(OR(E13="",F13="",J13=""),"",IF(D13="Short",(E13-J13)*F13,(J13-E13)*F13))</f>
        <v/>
      </c>
      <c r="L13" s="19">
        <f>IFERROR(K13/G13,"")</f>
        <v/>
      </c>
      <c r="M13" s="18">
        <f>IF(OR(E13="",H13="",F13=""),"",IF(D13="Short",(H13-E13)*F13,(E13-H13)*F13))</f>
        <v/>
      </c>
      <c r="N13" s="20">
        <f>IFERROR(K13/M13,"")</f>
        <v/>
      </c>
      <c r="O13" s="21">
        <f>IF(E13="","",IF(J13="","Aberta","Fechada"))</f>
        <v/>
      </c>
      <c r="P13" s="15" t="n"/>
    </row>
    <row r="14">
      <c r="A14" s="14" t="n"/>
      <c r="B14" s="15" t="n"/>
      <c r="C14" s="15" t="n"/>
      <c r="D14" s="15" t="n"/>
      <c r="E14" s="16" t="n"/>
      <c r="F14" s="17" t="n"/>
      <c r="G14" s="18">
        <f>IF(AND(E14&lt;&gt;"",F14&lt;&gt;""),E14*F14,"")</f>
        <v/>
      </c>
      <c r="H14" s="16" t="n"/>
      <c r="I14" s="16" t="n"/>
      <c r="J14" s="16" t="n"/>
      <c r="K14" s="18">
        <f>IF(OR(E14="",F14="",J14=""),"",IF(D14="Short",(E14-J14)*F14,(J14-E14)*F14))</f>
        <v/>
      </c>
      <c r="L14" s="19">
        <f>IFERROR(K14/G14,"")</f>
        <v/>
      </c>
      <c r="M14" s="18">
        <f>IF(OR(E14="",H14="",F14=""),"",IF(D14="Short",(H14-E14)*F14,(E14-H14)*F14))</f>
        <v/>
      </c>
      <c r="N14" s="20">
        <f>IFERROR(K14/M14,"")</f>
        <v/>
      </c>
      <c r="O14" s="21">
        <f>IF(E14="","",IF(J14="","Aberta","Fechada"))</f>
        <v/>
      </c>
      <c r="P14" s="15" t="n"/>
    </row>
    <row r="15">
      <c r="A15" s="14" t="n"/>
      <c r="B15" s="15" t="n"/>
      <c r="C15" s="15" t="n"/>
      <c r="D15" s="15" t="n"/>
      <c r="E15" s="16" t="n"/>
      <c r="F15" s="17" t="n"/>
      <c r="G15" s="18">
        <f>IF(AND(E15&lt;&gt;"",F15&lt;&gt;""),E15*F15,"")</f>
        <v/>
      </c>
      <c r="H15" s="16" t="n"/>
      <c r="I15" s="16" t="n"/>
      <c r="J15" s="16" t="n"/>
      <c r="K15" s="18">
        <f>IF(OR(E15="",F15="",J15=""),"",IF(D15="Short",(E15-J15)*F15,(J15-E15)*F15))</f>
        <v/>
      </c>
      <c r="L15" s="19">
        <f>IFERROR(K15/G15,"")</f>
        <v/>
      </c>
      <c r="M15" s="18">
        <f>IF(OR(E15="",H15="",F15=""),"",IF(D15="Short",(H15-E15)*F15,(E15-H15)*F15))</f>
        <v/>
      </c>
      <c r="N15" s="20">
        <f>IFERROR(K15/M15,"")</f>
        <v/>
      </c>
      <c r="O15" s="21">
        <f>IF(E15="","",IF(J15="","Aberta","Fechada"))</f>
        <v/>
      </c>
      <c r="P15" s="15" t="n"/>
    </row>
    <row r="16">
      <c r="A16" s="14" t="n"/>
      <c r="B16" s="15" t="n"/>
      <c r="C16" s="15" t="n"/>
      <c r="D16" s="15" t="n"/>
      <c r="E16" s="16" t="n"/>
      <c r="F16" s="17" t="n"/>
      <c r="G16" s="18">
        <f>IF(AND(E16&lt;&gt;"",F16&lt;&gt;""),E16*F16,"")</f>
        <v/>
      </c>
      <c r="H16" s="16" t="n"/>
      <c r="I16" s="16" t="n"/>
      <c r="J16" s="16" t="n"/>
      <c r="K16" s="18">
        <f>IF(OR(E16="",F16="",J16=""),"",IF(D16="Short",(E16-J16)*F16,(J16-E16)*F16))</f>
        <v/>
      </c>
      <c r="L16" s="19">
        <f>IFERROR(K16/G16,"")</f>
        <v/>
      </c>
      <c r="M16" s="18">
        <f>IF(OR(E16="",H16="",F16=""),"",IF(D16="Short",(H16-E16)*F16,(E16-H16)*F16))</f>
        <v/>
      </c>
      <c r="N16" s="20">
        <f>IFERROR(K16/M16,"")</f>
        <v/>
      </c>
      <c r="O16" s="21">
        <f>IF(E16="","",IF(J16="","Aberta","Fechada"))</f>
        <v/>
      </c>
      <c r="P16" s="15" t="n"/>
    </row>
    <row r="17">
      <c r="A17" s="14" t="n"/>
      <c r="B17" s="15" t="n"/>
      <c r="C17" s="15" t="n"/>
      <c r="D17" s="15" t="n"/>
      <c r="E17" s="16" t="n"/>
      <c r="F17" s="17" t="n"/>
      <c r="G17" s="18">
        <f>IF(AND(E17&lt;&gt;"",F17&lt;&gt;""),E17*F17,"")</f>
        <v/>
      </c>
      <c r="H17" s="16" t="n"/>
      <c r="I17" s="16" t="n"/>
      <c r="J17" s="16" t="n"/>
      <c r="K17" s="18">
        <f>IF(OR(E17="",F17="",J17=""),"",IF(D17="Short",(E17-J17)*F17,(J17-E17)*F17))</f>
        <v/>
      </c>
      <c r="L17" s="19">
        <f>IFERROR(K17/G17,"")</f>
        <v/>
      </c>
      <c r="M17" s="18">
        <f>IF(OR(E17="",H17="",F17=""),"",IF(D17="Short",(H17-E17)*F17,(E17-H17)*F17))</f>
        <v/>
      </c>
      <c r="N17" s="20">
        <f>IFERROR(K17/M17,"")</f>
        <v/>
      </c>
      <c r="O17" s="21">
        <f>IF(E17="","",IF(J17="","Aberta","Fechada"))</f>
        <v/>
      </c>
      <c r="P17" s="15" t="n"/>
    </row>
    <row r="18">
      <c r="A18" s="14" t="n"/>
      <c r="B18" s="15" t="n"/>
      <c r="C18" s="15" t="n"/>
      <c r="D18" s="15" t="n"/>
      <c r="E18" s="16" t="n"/>
      <c r="F18" s="17" t="n"/>
      <c r="G18" s="18">
        <f>IF(AND(E18&lt;&gt;"",F18&lt;&gt;""),E18*F18,"")</f>
        <v/>
      </c>
      <c r="H18" s="16" t="n"/>
      <c r="I18" s="16" t="n"/>
      <c r="J18" s="16" t="n"/>
      <c r="K18" s="18">
        <f>IF(OR(E18="",F18="",J18=""),"",IF(D18="Short",(E18-J18)*F18,(J18-E18)*F18))</f>
        <v/>
      </c>
      <c r="L18" s="19">
        <f>IFERROR(K18/G18,"")</f>
        <v/>
      </c>
      <c r="M18" s="18">
        <f>IF(OR(E18="",H18="",F18=""),"",IF(D18="Short",(H18-E18)*F18,(E18-H18)*F18))</f>
        <v/>
      </c>
      <c r="N18" s="20">
        <f>IFERROR(K18/M18,"")</f>
        <v/>
      </c>
      <c r="O18" s="21">
        <f>IF(E18="","",IF(J18="","Aberta","Fechada"))</f>
        <v/>
      </c>
      <c r="P18" s="15" t="n"/>
    </row>
    <row r="19">
      <c r="A19" s="14" t="n"/>
      <c r="B19" s="15" t="n"/>
      <c r="C19" s="15" t="n"/>
      <c r="D19" s="15" t="n"/>
      <c r="E19" s="16" t="n"/>
      <c r="F19" s="17" t="n"/>
      <c r="G19" s="18">
        <f>IF(AND(E19&lt;&gt;"",F19&lt;&gt;""),E19*F19,"")</f>
        <v/>
      </c>
      <c r="H19" s="16" t="n"/>
      <c r="I19" s="16" t="n"/>
      <c r="J19" s="16" t="n"/>
      <c r="K19" s="18">
        <f>IF(OR(E19="",F19="",J19=""),"",IF(D19="Short",(E19-J19)*F19,(J19-E19)*F19))</f>
        <v/>
      </c>
      <c r="L19" s="19">
        <f>IFERROR(K19/G19,"")</f>
        <v/>
      </c>
      <c r="M19" s="18">
        <f>IF(OR(E19="",H19="",F19=""),"",IF(D19="Short",(H19-E19)*F19,(E19-H19)*F19))</f>
        <v/>
      </c>
      <c r="N19" s="20">
        <f>IFERROR(K19/M19,"")</f>
        <v/>
      </c>
      <c r="O19" s="21">
        <f>IF(E19="","",IF(J19="","Aberta","Fechada"))</f>
        <v/>
      </c>
      <c r="P19" s="15" t="n"/>
    </row>
    <row r="20">
      <c r="A20" s="14" t="n"/>
      <c r="B20" s="15" t="n"/>
      <c r="C20" s="15" t="n"/>
      <c r="D20" s="15" t="n"/>
      <c r="E20" s="16" t="n"/>
      <c r="F20" s="17" t="n"/>
      <c r="G20" s="18">
        <f>IF(AND(E20&lt;&gt;"",F20&lt;&gt;""),E20*F20,"")</f>
        <v/>
      </c>
      <c r="H20" s="16" t="n"/>
      <c r="I20" s="16" t="n"/>
      <c r="J20" s="16" t="n"/>
      <c r="K20" s="18">
        <f>IF(OR(E20="",F20="",J20=""),"",IF(D20="Short",(E20-J20)*F20,(J20-E20)*F20))</f>
        <v/>
      </c>
      <c r="L20" s="19">
        <f>IFERROR(K20/G20,"")</f>
        <v/>
      </c>
      <c r="M20" s="18">
        <f>IF(OR(E20="",H20="",F20=""),"",IF(D20="Short",(H20-E20)*F20,(E20-H20)*F20))</f>
        <v/>
      </c>
      <c r="N20" s="20">
        <f>IFERROR(K20/M20,"")</f>
        <v/>
      </c>
      <c r="O20" s="21">
        <f>IF(E20="","",IF(J20="","Aberta","Fechada"))</f>
        <v/>
      </c>
      <c r="P20" s="15" t="n"/>
    </row>
    <row r="21">
      <c r="A21" s="14" t="n"/>
      <c r="B21" s="15" t="n"/>
      <c r="C21" s="15" t="n"/>
      <c r="D21" s="15" t="n"/>
      <c r="E21" s="16" t="n"/>
      <c r="F21" s="17" t="n"/>
      <c r="G21" s="18">
        <f>IF(AND(E21&lt;&gt;"",F21&lt;&gt;""),E21*F21,"")</f>
        <v/>
      </c>
      <c r="H21" s="16" t="n"/>
      <c r="I21" s="16" t="n"/>
      <c r="J21" s="16" t="n"/>
      <c r="K21" s="18">
        <f>IF(OR(E21="",F21="",J21=""),"",IF(D21="Short",(E21-J21)*F21,(J21-E21)*F21))</f>
        <v/>
      </c>
      <c r="L21" s="19">
        <f>IFERROR(K21/G21,"")</f>
        <v/>
      </c>
      <c r="M21" s="18">
        <f>IF(OR(E21="",H21="",F21=""),"",IF(D21="Short",(H21-E21)*F21,(E21-H21)*F21))</f>
        <v/>
      </c>
      <c r="N21" s="20">
        <f>IFERROR(K21/M21,"")</f>
        <v/>
      </c>
      <c r="O21" s="21">
        <f>IF(E21="","",IF(J21="","Aberta","Fechada"))</f>
        <v/>
      </c>
      <c r="P21" s="15" t="n"/>
    </row>
    <row r="22">
      <c r="A22" s="14" t="n"/>
      <c r="B22" s="15" t="n"/>
      <c r="C22" s="15" t="n"/>
      <c r="D22" s="15" t="n"/>
      <c r="E22" s="16" t="n"/>
      <c r="F22" s="17" t="n"/>
      <c r="G22" s="18">
        <f>IF(AND(E22&lt;&gt;"",F22&lt;&gt;""),E22*F22,"")</f>
        <v/>
      </c>
      <c r="H22" s="16" t="n"/>
      <c r="I22" s="16" t="n"/>
      <c r="J22" s="16" t="n"/>
      <c r="K22" s="18">
        <f>IF(OR(E22="",F22="",J22=""),"",IF(D22="Short",(E22-J22)*F22,(J22-E22)*F22))</f>
        <v/>
      </c>
      <c r="L22" s="19">
        <f>IFERROR(K22/G22,"")</f>
        <v/>
      </c>
      <c r="M22" s="18">
        <f>IF(OR(E22="",H22="",F22=""),"",IF(D22="Short",(H22-E22)*F22,(E22-H22)*F22))</f>
        <v/>
      </c>
      <c r="N22" s="20">
        <f>IFERROR(K22/M22,"")</f>
        <v/>
      </c>
      <c r="O22" s="21">
        <f>IF(E22="","",IF(J22="","Aberta","Fechada"))</f>
        <v/>
      </c>
      <c r="P22" s="15" t="n"/>
    </row>
    <row r="23">
      <c r="A23" s="14" t="n"/>
      <c r="B23" s="15" t="n"/>
      <c r="C23" s="15" t="n"/>
      <c r="D23" s="15" t="n"/>
      <c r="E23" s="16" t="n"/>
      <c r="F23" s="17" t="n"/>
      <c r="G23" s="18">
        <f>IF(AND(E23&lt;&gt;"",F23&lt;&gt;""),E23*F23,"")</f>
        <v/>
      </c>
      <c r="H23" s="16" t="n"/>
      <c r="I23" s="16" t="n"/>
      <c r="J23" s="16" t="n"/>
      <c r="K23" s="18">
        <f>IF(OR(E23="",F23="",J23=""),"",IF(D23="Short",(E23-J23)*F23,(J23-E23)*F23))</f>
        <v/>
      </c>
      <c r="L23" s="19">
        <f>IFERROR(K23/G23,"")</f>
        <v/>
      </c>
      <c r="M23" s="18">
        <f>IF(OR(E23="",H23="",F23=""),"",IF(D23="Short",(H23-E23)*F23,(E23-H23)*F23))</f>
        <v/>
      </c>
      <c r="N23" s="20">
        <f>IFERROR(K23/M23,"")</f>
        <v/>
      </c>
      <c r="O23" s="21">
        <f>IF(E23="","",IF(J23="","Aberta","Fechada"))</f>
        <v/>
      </c>
      <c r="P23" s="15" t="n"/>
    </row>
    <row r="24">
      <c r="A24" s="14" t="n"/>
      <c r="B24" s="15" t="n"/>
      <c r="C24" s="15" t="n"/>
      <c r="D24" s="15" t="n"/>
      <c r="E24" s="16" t="n"/>
      <c r="F24" s="17" t="n"/>
      <c r="G24" s="18">
        <f>IF(AND(E24&lt;&gt;"",F24&lt;&gt;""),E24*F24,"")</f>
        <v/>
      </c>
      <c r="H24" s="16" t="n"/>
      <c r="I24" s="16" t="n"/>
      <c r="J24" s="16" t="n"/>
      <c r="K24" s="18">
        <f>IF(OR(E24="",F24="",J24=""),"",IF(D24="Short",(E24-J24)*F24,(J24-E24)*F24))</f>
        <v/>
      </c>
      <c r="L24" s="19">
        <f>IFERROR(K24/G24,"")</f>
        <v/>
      </c>
      <c r="M24" s="18">
        <f>IF(OR(E24="",H24="",F24=""),"",IF(D24="Short",(H24-E24)*F24,(E24-H24)*F24))</f>
        <v/>
      </c>
      <c r="N24" s="20">
        <f>IFERROR(K24/M24,"")</f>
        <v/>
      </c>
      <c r="O24" s="21">
        <f>IF(E24="","",IF(J24="","Aberta","Fechada"))</f>
        <v/>
      </c>
      <c r="P24" s="15" t="n"/>
    </row>
    <row r="25">
      <c r="A25" s="14" t="n"/>
      <c r="B25" s="15" t="n"/>
      <c r="C25" s="15" t="n"/>
      <c r="D25" s="15" t="n"/>
      <c r="E25" s="16" t="n"/>
      <c r="F25" s="17" t="n"/>
      <c r="G25" s="18">
        <f>IF(AND(E25&lt;&gt;"",F25&lt;&gt;""),E25*F25,"")</f>
        <v/>
      </c>
      <c r="H25" s="16" t="n"/>
      <c r="I25" s="16" t="n"/>
      <c r="J25" s="16" t="n"/>
      <c r="K25" s="18">
        <f>IF(OR(E25="",F25="",J25=""),"",IF(D25="Short",(E25-J25)*F25,(J25-E25)*F25))</f>
        <v/>
      </c>
      <c r="L25" s="19">
        <f>IFERROR(K25/G25,"")</f>
        <v/>
      </c>
      <c r="M25" s="18">
        <f>IF(OR(E25="",H25="",F25=""),"",IF(D25="Short",(H25-E25)*F25,(E25-H25)*F25))</f>
        <v/>
      </c>
      <c r="N25" s="20">
        <f>IFERROR(K25/M25,"")</f>
        <v/>
      </c>
      <c r="O25" s="21">
        <f>IF(E25="","",IF(J25="","Aberta","Fechada"))</f>
        <v/>
      </c>
      <c r="P25" s="15" t="n"/>
    </row>
    <row r="26">
      <c r="A26" s="14" t="n"/>
      <c r="B26" s="15" t="n"/>
      <c r="C26" s="15" t="n"/>
      <c r="D26" s="15" t="n"/>
      <c r="E26" s="16" t="n"/>
      <c r="F26" s="17" t="n"/>
      <c r="G26" s="18">
        <f>IF(AND(E26&lt;&gt;"",F26&lt;&gt;""),E26*F26,"")</f>
        <v/>
      </c>
      <c r="H26" s="16" t="n"/>
      <c r="I26" s="16" t="n"/>
      <c r="J26" s="16" t="n"/>
      <c r="K26" s="18">
        <f>IF(OR(E26="",F26="",J26=""),"",IF(D26="Short",(E26-J26)*F26,(J26-E26)*F26))</f>
        <v/>
      </c>
      <c r="L26" s="19">
        <f>IFERROR(K26/G26,"")</f>
        <v/>
      </c>
      <c r="M26" s="18">
        <f>IF(OR(E26="",H26="",F26=""),"",IF(D26="Short",(H26-E26)*F26,(E26-H26)*F26))</f>
        <v/>
      </c>
      <c r="N26" s="20">
        <f>IFERROR(K26/M26,"")</f>
        <v/>
      </c>
      <c r="O26" s="21">
        <f>IF(E26="","",IF(J26="","Aberta","Fechada"))</f>
        <v/>
      </c>
      <c r="P26" s="15" t="n"/>
    </row>
    <row r="27">
      <c r="A27" s="14" t="n"/>
      <c r="B27" s="15" t="n"/>
      <c r="C27" s="15" t="n"/>
      <c r="D27" s="15" t="n"/>
      <c r="E27" s="16" t="n"/>
      <c r="F27" s="17" t="n"/>
      <c r="G27" s="18">
        <f>IF(AND(E27&lt;&gt;"",F27&lt;&gt;""),E27*F27,"")</f>
        <v/>
      </c>
      <c r="H27" s="16" t="n"/>
      <c r="I27" s="16" t="n"/>
      <c r="J27" s="16" t="n"/>
      <c r="K27" s="18">
        <f>IF(OR(E27="",F27="",J27=""),"",IF(D27="Short",(E27-J27)*F27,(J27-E27)*F27))</f>
        <v/>
      </c>
      <c r="L27" s="19">
        <f>IFERROR(K27/G27,"")</f>
        <v/>
      </c>
      <c r="M27" s="18">
        <f>IF(OR(E27="",H27="",F27=""),"",IF(D27="Short",(H27-E27)*F27,(E27-H27)*F27))</f>
        <v/>
      </c>
      <c r="N27" s="20">
        <f>IFERROR(K27/M27,"")</f>
        <v/>
      </c>
      <c r="O27" s="21">
        <f>IF(E27="","",IF(J27="","Aberta","Fechada"))</f>
        <v/>
      </c>
      <c r="P27" s="15" t="n"/>
    </row>
    <row r="28">
      <c r="A28" s="14" t="n"/>
      <c r="B28" s="15" t="n"/>
      <c r="C28" s="15" t="n"/>
      <c r="D28" s="15" t="n"/>
      <c r="E28" s="16" t="n"/>
      <c r="F28" s="17" t="n"/>
      <c r="G28" s="18">
        <f>IF(AND(E28&lt;&gt;"",F28&lt;&gt;""),E28*F28,"")</f>
        <v/>
      </c>
      <c r="H28" s="16" t="n"/>
      <c r="I28" s="16" t="n"/>
      <c r="J28" s="16" t="n"/>
      <c r="K28" s="18">
        <f>IF(OR(E28="",F28="",J28=""),"",IF(D28="Short",(E28-J28)*F28,(J28-E28)*F28))</f>
        <v/>
      </c>
      <c r="L28" s="19">
        <f>IFERROR(K28/G28,"")</f>
        <v/>
      </c>
      <c r="M28" s="18">
        <f>IF(OR(E28="",H28="",F28=""),"",IF(D28="Short",(H28-E28)*F28,(E28-H28)*F28))</f>
        <v/>
      </c>
      <c r="N28" s="20">
        <f>IFERROR(K28/M28,"")</f>
        <v/>
      </c>
      <c r="O28" s="21">
        <f>IF(E28="","",IF(J28="","Aberta","Fechada"))</f>
        <v/>
      </c>
      <c r="P28" s="15" t="n"/>
    </row>
    <row r="29">
      <c r="A29" s="14" t="n"/>
      <c r="B29" s="15" t="n"/>
      <c r="C29" s="15" t="n"/>
      <c r="D29" s="15" t="n"/>
      <c r="E29" s="16" t="n"/>
      <c r="F29" s="17" t="n"/>
      <c r="G29" s="18">
        <f>IF(AND(E29&lt;&gt;"",F29&lt;&gt;""),E29*F29,"")</f>
        <v/>
      </c>
      <c r="H29" s="16" t="n"/>
      <c r="I29" s="16" t="n"/>
      <c r="J29" s="16" t="n"/>
      <c r="K29" s="18">
        <f>IF(OR(E29="",F29="",J29=""),"",IF(D29="Short",(E29-J29)*F29,(J29-E29)*F29))</f>
        <v/>
      </c>
      <c r="L29" s="19">
        <f>IFERROR(K29/G29,"")</f>
        <v/>
      </c>
      <c r="M29" s="18">
        <f>IF(OR(E29="",H29="",F29=""),"",IF(D29="Short",(H29-E29)*F29,(E29-H29)*F29))</f>
        <v/>
      </c>
      <c r="N29" s="20">
        <f>IFERROR(K29/M29,"")</f>
        <v/>
      </c>
      <c r="O29" s="21">
        <f>IF(E29="","",IF(J29="","Aberta","Fechada"))</f>
        <v/>
      </c>
      <c r="P29" s="15" t="n"/>
    </row>
    <row r="30">
      <c r="A30" s="14" t="n"/>
      <c r="B30" s="15" t="n"/>
      <c r="C30" s="15" t="n"/>
      <c r="D30" s="15" t="n"/>
      <c r="E30" s="16" t="n"/>
      <c r="F30" s="17" t="n"/>
      <c r="G30" s="18">
        <f>IF(AND(E30&lt;&gt;"",F30&lt;&gt;""),E30*F30,"")</f>
        <v/>
      </c>
      <c r="H30" s="16" t="n"/>
      <c r="I30" s="16" t="n"/>
      <c r="J30" s="16" t="n"/>
      <c r="K30" s="18">
        <f>IF(OR(E30="",F30="",J30=""),"",IF(D30="Short",(E30-J30)*F30,(J30-E30)*F30))</f>
        <v/>
      </c>
      <c r="L30" s="19">
        <f>IFERROR(K30/G30,"")</f>
        <v/>
      </c>
      <c r="M30" s="18">
        <f>IF(OR(E30="",H30="",F30=""),"",IF(D30="Short",(H30-E30)*F30,(E30-H30)*F30))</f>
        <v/>
      </c>
      <c r="N30" s="20">
        <f>IFERROR(K30/M30,"")</f>
        <v/>
      </c>
      <c r="O30" s="21">
        <f>IF(E30="","",IF(J30="","Aberta","Fechada"))</f>
        <v/>
      </c>
      <c r="P30" s="15" t="n"/>
    </row>
    <row r="31">
      <c r="A31" s="14" t="n"/>
      <c r="B31" s="15" t="n"/>
      <c r="C31" s="15" t="n"/>
      <c r="D31" s="15" t="n"/>
      <c r="E31" s="16" t="n"/>
      <c r="F31" s="17" t="n"/>
      <c r="G31" s="18">
        <f>IF(AND(E31&lt;&gt;"",F31&lt;&gt;""),E31*F31,"")</f>
        <v/>
      </c>
      <c r="H31" s="16" t="n"/>
      <c r="I31" s="16" t="n"/>
      <c r="J31" s="16" t="n"/>
      <c r="K31" s="18">
        <f>IF(OR(E31="",F31="",J31=""),"",IF(D31="Short",(E31-J31)*F31,(J31-E31)*F31))</f>
        <v/>
      </c>
      <c r="L31" s="19">
        <f>IFERROR(K31/G31,"")</f>
        <v/>
      </c>
      <c r="M31" s="18">
        <f>IF(OR(E31="",H31="",F31=""),"",IF(D31="Short",(H31-E31)*F31,(E31-H31)*F31))</f>
        <v/>
      </c>
      <c r="N31" s="20">
        <f>IFERROR(K31/M31,"")</f>
        <v/>
      </c>
      <c r="O31" s="21">
        <f>IF(E31="","",IF(J31="","Aberta","Fechada"))</f>
        <v/>
      </c>
      <c r="P31" s="15" t="n"/>
    </row>
    <row r="32">
      <c r="A32" s="14" t="n"/>
      <c r="B32" s="15" t="n"/>
      <c r="C32" s="15" t="n"/>
      <c r="D32" s="15" t="n"/>
      <c r="E32" s="16" t="n"/>
      <c r="F32" s="17" t="n"/>
      <c r="G32" s="18">
        <f>IF(AND(E32&lt;&gt;"",F32&lt;&gt;""),E32*F32,"")</f>
        <v/>
      </c>
      <c r="H32" s="16" t="n"/>
      <c r="I32" s="16" t="n"/>
      <c r="J32" s="16" t="n"/>
      <c r="K32" s="18">
        <f>IF(OR(E32="",F32="",J32=""),"",IF(D32="Short",(E32-J32)*F32,(J32-E32)*F32))</f>
        <v/>
      </c>
      <c r="L32" s="19">
        <f>IFERROR(K32/G32,"")</f>
        <v/>
      </c>
      <c r="M32" s="18">
        <f>IF(OR(E32="",H32="",F32=""),"",IF(D32="Short",(H32-E32)*F32,(E32-H32)*F32))</f>
        <v/>
      </c>
      <c r="N32" s="20">
        <f>IFERROR(K32/M32,"")</f>
        <v/>
      </c>
      <c r="O32" s="21">
        <f>IF(E32="","",IF(J32="","Aberta","Fechada"))</f>
        <v/>
      </c>
      <c r="P32" s="15" t="n"/>
    </row>
    <row r="33">
      <c r="A33" s="14" t="n"/>
      <c r="B33" s="15" t="n"/>
      <c r="C33" s="15" t="n"/>
      <c r="D33" s="15" t="n"/>
      <c r="E33" s="16" t="n"/>
      <c r="F33" s="17" t="n"/>
      <c r="G33" s="18">
        <f>IF(AND(E33&lt;&gt;"",F33&lt;&gt;""),E33*F33,"")</f>
        <v/>
      </c>
      <c r="H33" s="16" t="n"/>
      <c r="I33" s="16" t="n"/>
      <c r="J33" s="16" t="n"/>
      <c r="K33" s="18">
        <f>IF(OR(E33="",F33="",J33=""),"",IF(D33="Short",(E33-J33)*F33,(J33-E33)*F33))</f>
        <v/>
      </c>
      <c r="L33" s="19">
        <f>IFERROR(K33/G33,"")</f>
        <v/>
      </c>
      <c r="M33" s="18">
        <f>IF(OR(E33="",H33="",F33=""),"",IF(D33="Short",(H33-E33)*F33,(E33-H33)*F33))</f>
        <v/>
      </c>
      <c r="N33" s="20">
        <f>IFERROR(K33/M33,"")</f>
        <v/>
      </c>
      <c r="O33" s="21">
        <f>IF(E33="","",IF(J33="","Aberta","Fechada"))</f>
        <v/>
      </c>
      <c r="P33" s="15" t="n"/>
    </row>
    <row r="34">
      <c r="A34" s="14" t="n"/>
      <c r="B34" s="15" t="n"/>
      <c r="C34" s="15" t="n"/>
      <c r="D34" s="15" t="n"/>
      <c r="E34" s="16" t="n"/>
      <c r="F34" s="17" t="n"/>
      <c r="G34" s="18">
        <f>IF(AND(E34&lt;&gt;"",F34&lt;&gt;""),E34*F34,"")</f>
        <v/>
      </c>
      <c r="H34" s="16" t="n"/>
      <c r="I34" s="16" t="n"/>
      <c r="J34" s="16" t="n"/>
      <c r="K34" s="18">
        <f>IF(OR(E34="",F34="",J34=""),"",IF(D34="Short",(E34-J34)*F34,(J34-E34)*F34))</f>
        <v/>
      </c>
      <c r="L34" s="19">
        <f>IFERROR(K34/G34,"")</f>
        <v/>
      </c>
      <c r="M34" s="18">
        <f>IF(OR(E34="",H34="",F34=""),"",IF(D34="Short",(H34-E34)*F34,(E34-H34)*F34))</f>
        <v/>
      </c>
      <c r="N34" s="20">
        <f>IFERROR(K34/M34,"")</f>
        <v/>
      </c>
      <c r="O34" s="21">
        <f>IF(E34="","",IF(J34="","Aberta","Fechada"))</f>
        <v/>
      </c>
      <c r="P34" s="15" t="n"/>
    </row>
    <row r="35">
      <c r="A35" s="14" t="n"/>
      <c r="B35" s="15" t="n"/>
      <c r="C35" s="15" t="n"/>
      <c r="D35" s="15" t="n"/>
      <c r="E35" s="16" t="n"/>
      <c r="F35" s="17" t="n"/>
      <c r="G35" s="18">
        <f>IF(AND(E35&lt;&gt;"",F35&lt;&gt;""),E35*F35,"")</f>
        <v/>
      </c>
      <c r="H35" s="16" t="n"/>
      <c r="I35" s="16" t="n"/>
      <c r="J35" s="16" t="n"/>
      <c r="K35" s="18">
        <f>IF(OR(E35="",F35="",J35=""),"",IF(D35="Short",(E35-J35)*F35,(J35-E35)*F35))</f>
        <v/>
      </c>
      <c r="L35" s="19">
        <f>IFERROR(K35/G35,"")</f>
        <v/>
      </c>
      <c r="M35" s="18">
        <f>IF(OR(E35="",H35="",F35=""),"",IF(D35="Short",(H35-E35)*F35,(E35-H35)*F35))</f>
        <v/>
      </c>
      <c r="N35" s="20">
        <f>IFERROR(K35/M35,"")</f>
        <v/>
      </c>
      <c r="O35" s="21">
        <f>IF(E35="","",IF(J35="","Aberta","Fechada"))</f>
        <v/>
      </c>
      <c r="P35" s="15" t="n"/>
    </row>
    <row r="36">
      <c r="A36" s="14" t="n"/>
      <c r="B36" s="15" t="n"/>
      <c r="C36" s="15" t="n"/>
      <c r="D36" s="15" t="n"/>
      <c r="E36" s="16" t="n"/>
      <c r="F36" s="17" t="n"/>
      <c r="G36" s="18">
        <f>IF(AND(E36&lt;&gt;"",F36&lt;&gt;""),E36*F36,"")</f>
        <v/>
      </c>
      <c r="H36" s="16" t="n"/>
      <c r="I36" s="16" t="n"/>
      <c r="J36" s="16" t="n"/>
      <c r="K36" s="18">
        <f>IF(OR(E36="",F36="",J36=""),"",IF(D36="Short",(E36-J36)*F36,(J36-E36)*F36))</f>
        <v/>
      </c>
      <c r="L36" s="19">
        <f>IFERROR(K36/G36,"")</f>
        <v/>
      </c>
      <c r="M36" s="18">
        <f>IF(OR(E36="",H36="",F36=""),"",IF(D36="Short",(H36-E36)*F36,(E36-H36)*F36))</f>
        <v/>
      </c>
      <c r="N36" s="20">
        <f>IFERROR(K36/M36,"")</f>
        <v/>
      </c>
      <c r="O36" s="21">
        <f>IF(E36="","",IF(J36="","Aberta","Fechada"))</f>
        <v/>
      </c>
      <c r="P36" s="15" t="n"/>
    </row>
    <row r="37">
      <c r="A37" s="14" t="n"/>
      <c r="B37" s="15" t="n"/>
      <c r="C37" s="15" t="n"/>
      <c r="D37" s="15" t="n"/>
      <c r="E37" s="16" t="n"/>
      <c r="F37" s="17" t="n"/>
      <c r="G37" s="18">
        <f>IF(AND(E37&lt;&gt;"",F37&lt;&gt;""),E37*F37,"")</f>
        <v/>
      </c>
      <c r="H37" s="16" t="n"/>
      <c r="I37" s="16" t="n"/>
      <c r="J37" s="16" t="n"/>
      <c r="K37" s="18">
        <f>IF(OR(E37="",F37="",J37=""),"",IF(D37="Short",(E37-J37)*F37,(J37-E37)*F37))</f>
        <v/>
      </c>
      <c r="L37" s="19">
        <f>IFERROR(K37/G37,"")</f>
        <v/>
      </c>
      <c r="M37" s="18">
        <f>IF(OR(E37="",H37="",F37=""),"",IF(D37="Short",(H37-E37)*F37,(E37-H37)*F37))</f>
        <v/>
      </c>
      <c r="N37" s="20">
        <f>IFERROR(K37/M37,"")</f>
        <v/>
      </c>
      <c r="O37" s="21">
        <f>IF(E37="","",IF(J37="","Aberta","Fechada"))</f>
        <v/>
      </c>
      <c r="P37" s="15" t="n"/>
    </row>
    <row r="38">
      <c r="A38" s="14" t="n"/>
      <c r="B38" s="15" t="n"/>
      <c r="C38" s="15" t="n"/>
      <c r="D38" s="15" t="n"/>
      <c r="E38" s="16" t="n"/>
      <c r="F38" s="17" t="n"/>
      <c r="G38" s="18">
        <f>IF(AND(E38&lt;&gt;"",F38&lt;&gt;""),E38*F38,"")</f>
        <v/>
      </c>
      <c r="H38" s="16" t="n"/>
      <c r="I38" s="16" t="n"/>
      <c r="J38" s="16" t="n"/>
      <c r="K38" s="18">
        <f>IF(OR(E38="",F38="",J38=""),"",IF(D38="Short",(E38-J38)*F38,(J38-E38)*F38))</f>
        <v/>
      </c>
      <c r="L38" s="19">
        <f>IFERROR(K38/G38,"")</f>
        <v/>
      </c>
      <c r="M38" s="18">
        <f>IF(OR(E38="",H38="",F38=""),"",IF(D38="Short",(H38-E38)*F38,(E38-H38)*F38))</f>
        <v/>
      </c>
      <c r="N38" s="20">
        <f>IFERROR(K38/M38,"")</f>
        <v/>
      </c>
      <c r="O38" s="21">
        <f>IF(E38="","",IF(J38="","Aberta","Fechada"))</f>
        <v/>
      </c>
      <c r="P38" s="15" t="n"/>
    </row>
    <row r="39">
      <c r="A39" s="14" t="n"/>
      <c r="B39" s="15" t="n"/>
      <c r="C39" s="15" t="n"/>
      <c r="D39" s="15" t="n"/>
      <c r="E39" s="16" t="n"/>
      <c r="F39" s="17" t="n"/>
      <c r="G39" s="18">
        <f>IF(AND(E39&lt;&gt;"",F39&lt;&gt;""),E39*F39,"")</f>
        <v/>
      </c>
      <c r="H39" s="16" t="n"/>
      <c r="I39" s="16" t="n"/>
      <c r="J39" s="16" t="n"/>
      <c r="K39" s="18">
        <f>IF(OR(E39="",F39="",J39=""),"",IF(D39="Short",(E39-J39)*F39,(J39-E39)*F39))</f>
        <v/>
      </c>
      <c r="L39" s="19">
        <f>IFERROR(K39/G39,"")</f>
        <v/>
      </c>
      <c r="M39" s="18">
        <f>IF(OR(E39="",H39="",F39=""),"",IF(D39="Short",(H39-E39)*F39,(E39-H39)*F39))</f>
        <v/>
      </c>
      <c r="N39" s="20">
        <f>IFERROR(K39/M39,"")</f>
        <v/>
      </c>
      <c r="O39" s="21">
        <f>IF(E39="","",IF(J39="","Aberta","Fechada"))</f>
        <v/>
      </c>
      <c r="P39" s="15" t="n"/>
    </row>
    <row r="40">
      <c r="A40" s="14" t="n"/>
      <c r="B40" s="15" t="n"/>
      <c r="C40" s="15" t="n"/>
      <c r="D40" s="15" t="n"/>
      <c r="E40" s="16" t="n"/>
      <c r="F40" s="17" t="n"/>
      <c r="G40" s="18">
        <f>IF(AND(E40&lt;&gt;"",F40&lt;&gt;""),E40*F40,"")</f>
        <v/>
      </c>
      <c r="H40" s="16" t="n"/>
      <c r="I40" s="16" t="n"/>
      <c r="J40" s="16" t="n"/>
      <c r="K40" s="18">
        <f>IF(OR(E40="",F40="",J40=""),"",IF(D40="Short",(E40-J40)*F40,(J40-E40)*F40))</f>
        <v/>
      </c>
      <c r="L40" s="19">
        <f>IFERROR(K40/G40,"")</f>
        <v/>
      </c>
      <c r="M40" s="18">
        <f>IF(OR(E40="",H40="",F40=""),"",IF(D40="Short",(H40-E40)*F40,(E40-H40)*F40))</f>
        <v/>
      </c>
      <c r="N40" s="20">
        <f>IFERROR(K40/M40,"")</f>
        <v/>
      </c>
      <c r="O40" s="21">
        <f>IF(E40="","",IF(J40="","Aberta","Fechada"))</f>
        <v/>
      </c>
      <c r="P40" s="15" t="n"/>
    </row>
    <row r="41">
      <c r="A41" s="14" t="n"/>
      <c r="B41" s="15" t="n"/>
      <c r="C41" s="15" t="n"/>
      <c r="D41" s="15" t="n"/>
      <c r="E41" s="16" t="n"/>
      <c r="F41" s="17" t="n"/>
      <c r="G41" s="18">
        <f>IF(AND(E41&lt;&gt;"",F41&lt;&gt;""),E41*F41,"")</f>
        <v/>
      </c>
      <c r="H41" s="16" t="n"/>
      <c r="I41" s="16" t="n"/>
      <c r="J41" s="16" t="n"/>
      <c r="K41" s="18">
        <f>IF(OR(E41="",F41="",J41=""),"",IF(D41="Short",(E41-J41)*F41,(J41-E41)*F41))</f>
        <v/>
      </c>
      <c r="L41" s="19">
        <f>IFERROR(K41/G41,"")</f>
        <v/>
      </c>
      <c r="M41" s="18">
        <f>IF(OR(E41="",H41="",F41=""),"",IF(D41="Short",(H41-E41)*F41,(E41-H41)*F41))</f>
        <v/>
      </c>
      <c r="N41" s="20">
        <f>IFERROR(K41/M41,"")</f>
        <v/>
      </c>
      <c r="O41" s="21">
        <f>IF(E41="","",IF(J41="","Aberta","Fechada"))</f>
        <v/>
      </c>
      <c r="P41" s="15" t="n"/>
    </row>
    <row r="42">
      <c r="A42" s="14" t="n"/>
      <c r="B42" s="15" t="n"/>
      <c r="C42" s="15" t="n"/>
      <c r="D42" s="15" t="n"/>
      <c r="E42" s="16" t="n"/>
      <c r="F42" s="17" t="n"/>
      <c r="G42" s="18">
        <f>IF(AND(E42&lt;&gt;"",F42&lt;&gt;""),E42*F42,"")</f>
        <v/>
      </c>
      <c r="H42" s="16" t="n"/>
      <c r="I42" s="16" t="n"/>
      <c r="J42" s="16" t="n"/>
      <c r="K42" s="18">
        <f>IF(OR(E42="",F42="",J42=""),"",IF(D42="Short",(E42-J42)*F42,(J42-E42)*F42))</f>
        <v/>
      </c>
      <c r="L42" s="19">
        <f>IFERROR(K42/G42,"")</f>
        <v/>
      </c>
      <c r="M42" s="18">
        <f>IF(OR(E42="",H42="",F42=""),"",IF(D42="Short",(H42-E42)*F42,(E42-H42)*F42))</f>
        <v/>
      </c>
      <c r="N42" s="20">
        <f>IFERROR(K42/M42,"")</f>
        <v/>
      </c>
      <c r="O42" s="21">
        <f>IF(E42="","",IF(J42="","Aberta","Fechada"))</f>
        <v/>
      </c>
      <c r="P42" s="15" t="n"/>
    </row>
    <row r="43">
      <c r="A43" s="14" t="n"/>
      <c r="B43" s="15" t="n"/>
      <c r="C43" s="15" t="n"/>
      <c r="D43" s="15" t="n"/>
      <c r="E43" s="16" t="n"/>
      <c r="F43" s="17" t="n"/>
      <c r="G43" s="18">
        <f>IF(AND(E43&lt;&gt;"",F43&lt;&gt;""),E43*F43,"")</f>
        <v/>
      </c>
      <c r="H43" s="16" t="n"/>
      <c r="I43" s="16" t="n"/>
      <c r="J43" s="16" t="n"/>
      <c r="K43" s="18">
        <f>IF(OR(E43="",F43="",J43=""),"",IF(D43="Short",(E43-J43)*F43,(J43-E43)*F43))</f>
        <v/>
      </c>
      <c r="L43" s="19">
        <f>IFERROR(K43/G43,"")</f>
        <v/>
      </c>
      <c r="M43" s="18">
        <f>IF(OR(E43="",H43="",F43=""),"",IF(D43="Short",(H43-E43)*F43,(E43-H43)*F43))</f>
        <v/>
      </c>
      <c r="N43" s="20">
        <f>IFERROR(K43/M43,"")</f>
        <v/>
      </c>
      <c r="O43" s="21">
        <f>IF(E43="","",IF(J43="","Aberta","Fechada"))</f>
        <v/>
      </c>
      <c r="P43" s="15" t="n"/>
    </row>
    <row r="44">
      <c r="A44" s="14" t="n"/>
      <c r="B44" s="15" t="n"/>
      <c r="C44" s="15" t="n"/>
      <c r="D44" s="15" t="n"/>
      <c r="E44" s="16" t="n"/>
      <c r="F44" s="17" t="n"/>
      <c r="G44" s="18">
        <f>IF(AND(E44&lt;&gt;"",F44&lt;&gt;""),E44*F44,"")</f>
        <v/>
      </c>
      <c r="H44" s="16" t="n"/>
      <c r="I44" s="16" t="n"/>
      <c r="J44" s="16" t="n"/>
      <c r="K44" s="18">
        <f>IF(OR(E44="",F44="",J44=""),"",IF(D44="Short",(E44-J44)*F44,(J44-E44)*F44))</f>
        <v/>
      </c>
      <c r="L44" s="19">
        <f>IFERROR(K44/G44,"")</f>
        <v/>
      </c>
      <c r="M44" s="18">
        <f>IF(OR(E44="",H44="",F44=""),"",IF(D44="Short",(H44-E44)*F44,(E44-H44)*F44))</f>
        <v/>
      </c>
      <c r="N44" s="20">
        <f>IFERROR(K44/M44,"")</f>
        <v/>
      </c>
      <c r="O44" s="21">
        <f>IF(E44="","",IF(J44="","Aberta","Fechada"))</f>
        <v/>
      </c>
      <c r="P44" s="15" t="n"/>
    </row>
    <row r="45">
      <c r="A45" s="14" t="n"/>
      <c r="B45" s="15" t="n"/>
      <c r="C45" s="15" t="n"/>
      <c r="D45" s="15" t="n"/>
      <c r="E45" s="16" t="n"/>
      <c r="F45" s="17" t="n"/>
      <c r="G45" s="18">
        <f>IF(AND(E45&lt;&gt;"",F45&lt;&gt;""),E45*F45,"")</f>
        <v/>
      </c>
      <c r="H45" s="16" t="n"/>
      <c r="I45" s="16" t="n"/>
      <c r="J45" s="16" t="n"/>
      <c r="K45" s="18">
        <f>IF(OR(E45="",F45="",J45=""),"",IF(D45="Short",(E45-J45)*F45,(J45-E45)*F45))</f>
        <v/>
      </c>
      <c r="L45" s="19">
        <f>IFERROR(K45/G45,"")</f>
        <v/>
      </c>
      <c r="M45" s="18">
        <f>IF(OR(E45="",H45="",F45=""),"",IF(D45="Short",(H45-E45)*F45,(E45-H45)*F45))</f>
        <v/>
      </c>
      <c r="N45" s="20">
        <f>IFERROR(K45/M45,"")</f>
        <v/>
      </c>
      <c r="O45" s="21">
        <f>IF(E45="","",IF(J45="","Aberta","Fechada"))</f>
        <v/>
      </c>
      <c r="P45" s="15" t="n"/>
    </row>
    <row r="46">
      <c r="A46" s="14" t="n"/>
      <c r="B46" s="15" t="n"/>
      <c r="C46" s="15" t="n"/>
      <c r="D46" s="15" t="n"/>
      <c r="E46" s="16" t="n"/>
      <c r="F46" s="17" t="n"/>
      <c r="G46" s="18">
        <f>IF(AND(E46&lt;&gt;"",F46&lt;&gt;""),E46*F46,"")</f>
        <v/>
      </c>
      <c r="H46" s="16" t="n"/>
      <c r="I46" s="16" t="n"/>
      <c r="J46" s="16" t="n"/>
      <c r="K46" s="18">
        <f>IF(OR(E46="",F46="",J46=""),"",IF(D46="Short",(E46-J46)*F46,(J46-E46)*F46))</f>
        <v/>
      </c>
      <c r="L46" s="19">
        <f>IFERROR(K46/G46,"")</f>
        <v/>
      </c>
      <c r="M46" s="18">
        <f>IF(OR(E46="",H46="",F46=""),"",IF(D46="Short",(H46-E46)*F46,(E46-H46)*F46))</f>
        <v/>
      </c>
      <c r="N46" s="20">
        <f>IFERROR(K46/M46,"")</f>
        <v/>
      </c>
      <c r="O46" s="21">
        <f>IF(E46="","",IF(J46="","Aberta","Fechada"))</f>
        <v/>
      </c>
      <c r="P46" s="15" t="n"/>
    </row>
    <row r="47">
      <c r="A47" s="14" t="n"/>
      <c r="B47" s="15" t="n"/>
      <c r="C47" s="15" t="n"/>
      <c r="D47" s="15" t="n"/>
      <c r="E47" s="16" t="n"/>
      <c r="F47" s="17" t="n"/>
      <c r="G47" s="18">
        <f>IF(AND(E47&lt;&gt;"",F47&lt;&gt;""),E47*F47,"")</f>
        <v/>
      </c>
      <c r="H47" s="16" t="n"/>
      <c r="I47" s="16" t="n"/>
      <c r="J47" s="16" t="n"/>
      <c r="K47" s="18">
        <f>IF(OR(E47="",F47="",J47=""),"",IF(D47="Short",(E47-J47)*F47,(J47-E47)*F47))</f>
        <v/>
      </c>
      <c r="L47" s="19">
        <f>IFERROR(K47/G47,"")</f>
        <v/>
      </c>
      <c r="M47" s="18">
        <f>IF(OR(E47="",H47="",F47=""),"",IF(D47="Short",(H47-E47)*F47,(E47-H47)*F47))</f>
        <v/>
      </c>
      <c r="N47" s="20">
        <f>IFERROR(K47/M47,"")</f>
        <v/>
      </c>
      <c r="O47" s="21">
        <f>IF(E47="","",IF(J47="","Aberta","Fechada"))</f>
        <v/>
      </c>
      <c r="P47" s="15" t="n"/>
    </row>
    <row r="48">
      <c r="A48" s="14" t="n"/>
      <c r="B48" s="15" t="n"/>
      <c r="C48" s="15" t="n"/>
      <c r="D48" s="15" t="n"/>
      <c r="E48" s="16" t="n"/>
      <c r="F48" s="17" t="n"/>
      <c r="G48" s="18">
        <f>IF(AND(E48&lt;&gt;"",F48&lt;&gt;""),E48*F48,"")</f>
        <v/>
      </c>
      <c r="H48" s="16" t="n"/>
      <c r="I48" s="16" t="n"/>
      <c r="J48" s="16" t="n"/>
      <c r="K48" s="18">
        <f>IF(OR(E48="",F48="",J48=""),"",IF(D48="Short",(E48-J48)*F48,(J48-E48)*F48))</f>
        <v/>
      </c>
      <c r="L48" s="19">
        <f>IFERROR(K48/G48,"")</f>
        <v/>
      </c>
      <c r="M48" s="18">
        <f>IF(OR(E48="",H48="",F48=""),"",IF(D48="Short",(H48-E48)*F48,(E48-H48)*F48))</f>
        <v/>
      </c>
      <c r="N48" s="20">
        <f>IFERROR(K48/M48,"")</f>
        <v/>
      </c>
      <c r="O48" s="21">
        <f>IF(E48="","",IF(J48="","Aberta","Fechada"))</f>
        <v/>
      </c>
      <c r="P48" s="15" t="n"/>
    </row>
    <row r="49">
      <c r="A49" s="14" t="n"/>
      <c r="B49" s="15" t="n"/>
      <c r="C49" s="15" t="n"/>
      <c r="D49" s="15" t="n"/>
      <c r="E49" s="16" t="n"/>
      <c r="F49" s="17" t="n"/>
      <c r="G49" s="18">
        <f>IF(AND(E49&lt;&gt;"",F49&lt;&gt;""),E49*F49,"")</f>
        <v/>
      </c>
      <c r="H49" s="16" t="n"/>
      <c r="I49" s="16" t="n"/>
      <c r="J49" s="16" t="n"/>
      <c r="K49" s="18">
        <f>IF(OR(E49="",F49="",J49=""),"",IF(D49="Short",(E49-J49)*F49,(J49-E49)*F49))</f>
        <v/>
      </c>
      <c r="L49" s="19">
        <f>IFERROR(K49/G49,"")</f>
        <v/>
      </c>
      <c r="M49" s="18">
        <f>IF(OR(E49="",H49="",F49=""),"",IF(D49="Short",(H49-E49)*F49,(E49-H49)*F49))</f>
        <v/>
      </c>
      <c r="N49" s="20">
        <f>IFERROR(K49/M49,"")</f>
        <v/>
      </c>
      <c r="O49" s="21">
        <f>IF(E49="","",IF(J49="","Aberta","Fechada"))</f>
        <v/>
      </c>
      <c r="P49" s="15" t="n"/>
    </row>
    <row r="50">
      <c r="A50" s="14" t="n"/>
      <c r="B50" s="15" t="n"/>
      <c r="C50" s="15" t="n"/>
      <c r="D50" s="15" t="n"/>
      <c r="E50" s="16" t="n"/>
      <c r="F50" s="17" t="n"/>
      <c r="G50" s="18">
        <f>IF(AND(E50&lt;&gt;"",F50&lt;&gt;""),E50*F50,"")</f>
        <v/>
      </c>
      <c r="H50" s="16" t="n"/>
      <c r="I50" s="16" t="n"/>
      <c r="J50" s="16" t="n"/>
      <c r="K50" s="18">
        <f>IF(OR(E50="",F50="",J50=""),"",IF(D50="Short",(E50-J50)*F50,(J50-E50)*F50))</f>
        <v/>
      </c>
      <c r="L50" s="19">
        <f>IFERROR(K50/G50,"")</f>
        <v/>
      </c>
      <c r="M50" s="18">
        <f>IF(OR(E50="",H50="",F50=""),"",IF(D50="Short",(H50-E50)*F50,(E50-H50)*F50))</f>
        <v/>
      </c>
      <c r="N50" s="20">
        <f>IFERROR(K50/M50,"")</f>
        <v/>
      </c>
      <c r="O50" s="21">
        <f>IF(E50="","",IF(J50="","Aberta","Fechada"))</f>
        <v/>
      </c>
      <c r="P50" s="15" t="n"/>
    </row>
    <row r="51">
      <c r="A51" s="14" t="n"/>
      <c r="B51" s="15" t="n"/>
      <c r="C51" s="15" t="n"/>
      <c r="D51" s="15" t="n"/>
      <c r="E51" s="16" t="n"/>
      <c r="F51" s="17" t="n"/>
      <c r="G51" s="18">
        <f>IF(AND(E51&lt;&gt;"",F51&lt;&gt;""),E51*F51,"")</f>
        <v/>
      </c>
      <c r="H51" s="16" t="n"/>
      <c r="I51" s="16" t="n"/>
      <c r="J51" s="16" t="n"/>
      <c r="K51" s="18">
        <f>IF(OR(E51="",F51="",J51=""),"",IF(D51="Short",(E51-J51)*F51,(J51-E51)*F51))</f>
        <v/>
      </c>
      <c r="L51" s="19">
        <f>IFERROR(K51/G51,"")</f>
        <v/>
      </c>
      <c r="M51" s="18">
        <f>IF(OR(E51="",H51="",F51=""),"",IF(D51="Short",(H51-E51)*F51,(E51-H51)*F51))</f>
        <v/>
      </c>
      <c r="N51" s="20">
        <f>IFERROR(K51/M51,"")</f>
        <v/>
      </c>
      <c r="O51" s="21">
        <f>IF(E51="","",IF(J51="","Aberta","Fechada"))</f>
        <v/>
      </c>
      <c r="P51" s="15" t="n"/>
    </row>
    <row r="52">
      <c r="A52" s="14" t="n"/>
      <c r="B52" s="15" t="n"/>
      <c r="C52" s="15" t="n"/>
      <c r="D52" s="15" t="n"/>
      <c r="E52" s="16" t="n"/>
      <c r="F52" s="17" t="n"/>
      <c r="G52" s="18">
        <f>IF(AND(E52&lt;&gt;"",F52&lt;&gt;""),E52*F52,"")</f>
        <v/>
      </c>
      <c r="H52" s="16" t="n"/>
      <c r="I52" s="16" t="n"/>
      <c r="J52" s="16" t="n"/>
      <c r="K52" s="18">
        <f>IF(OR(E52="",F52="",J52=""),"",IF(D52="Short",(E52-J52)*F52,(J52-E52)*F52))</f>
        <v/>
      </c>
      <c r="L52" s="19">
        <f>IFERROR(K52/G52,"")</f>
        <v/>
      </c>
      <c r="M52" s="18">
        <f>IF(OR(E52="",H52="",F52=""),"",IF(D52="Short",(H52-E52)*F52,(E52-H52)*F52))</f>
        <v/>
      </c>
      <c r="N52" s="20">
        <f>IFERROR(K52/M52,"")</f>
        <v/>
      </c>
      <c r="O52" s="21">
        <f>IF(E52="","",IF(J52="","Aberta","Fechada"))</f>
        <v/>
      </c>
      <c r="P52" s="15" t="n"/>
    </row>
    <row r="53">
      <c r="A53" s="14" t="n"/>
      <c r="B53" s="15" t="n"/>
      <c r="C53" s="15" t="n"/>
      <c r="D53" s="15" t="n"/>
      <c r="E53" s="16" t="n"/>
      <c r="F53" s="17" t="n"/>
      <c r="G53" s="18">
        <f>IF(AND(E53&lt;&gt;"",F53&lt;&gt;""),E53*F53,"")</f>
        <v/>
      </c>
      <c r="H53" s="16" t="n"/>
      <c r="I53" s="16" t="n"/>
      <c r="J53" s="16" t="n"/>
      <c r="K53" s="18">
        <f>IF(OR(E53="",F53="",J53=""),"",IF(D53="Short",(E53-J53)*F53,(J53-E53)*F53))</f>
        <v/>
      </c>
      <c r="L53" s="19">
        <f>IFERROR(K53/G53,"")</f>
        <v/>
      </c>
      <c r="M53" s="18">
        <f>IF(OR(E53="",H53="",F53=""),"",IF(D53="Short",(H53-E53)*F53,(E53-H53)*F53))</f>
        <v/>
      </c>
      <c r="N53" s="20">
        <f>IFERROR(K53/M53,"")</f>
        <v/>
      </c>
      <c r="O53" s="21">
        <f>IF(E53="","",IF(J53="","Aberta","Fechada"))</f>
        <v/>
      </c>
      <c r="P53" s="15" t="n"/>
    </row>
    <row r="54">
      <c r="A54" s="14" t="n"/>
      <c r="B54" s="15" t="n"/>
      <c r="C54" s="15" t="n"/>
      <c r="D54" s="15" t="n"/>
      <c r="E54" s="16" t="n"/>
      <c r="F54" s="17" t="n"/>
      <c r="G54" s="18">
        <f>IF(AND(E54&lt;&gt;"",F54&lt;&gt;""),E54*F54,"")</f>
        <v/>
      </c>
      <c r="H54" s="16" t="n"/>
      <c r="I54" s="16" t="n"/>
      <c r="J54" s="16" t="n"/>
      <c r="K54" s="18">
        <f>IF(OR(E54="",F54="",J54=""),"",IF(D54="Short",(E54-J54)*F54,(J54-E54)*F54))</f>
        <v/>
      </c>
      <c r="L54" s="19">
        <f>IFERROR(K54/G54,"")</f>
        <v/>
      </c>
      <c r="M54" s="18">
        <f>IF(OR(E54="",H54="",F54=""),"",IF(D54="Short",(H54-E54)*F54,(E54-H54)*F54))</f>
        <v/>
      </c>
      <c r="N54" s="20">
        <f>IFERROR(K54/M54,"")</f>
        <v/>
      </c>
      <c r="O54" s="21">
        <f>IF(E54="","",IF(J54="","Aberta","Fechada"))</f>
        <v/>
      </c>
      <c r="P54" s="15" t="n"/>
    </row>
    <row r="55">
      <c r="A55" s="14" t="n"/>
      <c r="B55" s="15" t="n"/>
      <c r="C55" s="15" t="n"/>
      <c r="D55" s="15" t="n"/>
      <c r="E55" s="16" t="n"/>
      <c r="F55" s="17" t="n"/>
      <c r="G55" s="18">
        <f>IF(AND(E55&lt;&gt;"",F55&lt;&gt;""),E55*F55,"")</f>
        <v/>
      </c>
      <c r="H55" s="16" t="n"/>
      <c r="I55" s="16" t="n"/>
      <c r="J55" s="16" t="n"/>
      <c r="K55" s="18">
        <f>IF(OR(E55="",F55="",J55=""),"",IF(D55="Short",(E55-J55)*F55,(J55-E55)*F55))</f>
        <v/>
      </c>
      <c r="L55" s="19">
        <f>IFERROR(K55/G55,"")</f>
        <v/>
      </c>
      <c r="M55" s="18">
        <f>IF(OR(E55="",H55="",F55=""),"",IF(D55="Short",(H55-E55)*F55,(E55-H55)*F55))</f>
        <v/>
      </c>
      <c r="N55" s="20">
        <f>IFERROR(K55/M55,"")</f>
        <v/>
      </c>
      <c r="O55" s="21">
        <f>IF(E55="","",IF(J55="","Aberta","Fechada"))</f>
        <v/>
      </c>
      <c r="P55" s="15" t="n"/>
    </row>
    <row r="56">
      <c r="A56" s="14" t="n"/>
      <c r="B56" s="15" t="n"/>
      <c r="C56" s="15" t="n"/>
      <c r="D56" s="15" t="n"/>
      <c r="E56" s="16" t="n"/>
      <c r="F56" s="17" t="n"/>
      <c r="G56" s="18">
        <f>IF(AND(E56&lt;&gt;"",F56&lt;&gt;""),E56*F56,"")</f>
        <v/>
      </c>
      <c r="H56" s="16" t="n"/>
      <c r="I56" s="16" t="n"/>
      <c r="J56" s="16" t="n"/>
      <c r="K56" s="18">
        <f>IF(OR(E56="",F56="",J56=""),"",IF(D56="Short",(E56-J56)*F56,(J56-E56)*F56))</f>
        <v/>
      </c>
      <c r="L56" s="19">
        <f>IFERROR(K56/G56,"")</f>
        <v/>
      </c>
      <c r="M56" s="18">
        <f>IF(OR(E56="",H56="",F56=""),"",IF(D56="Short",(H56-E56)*F56,(E56-H56)*F56))</f>
        <v/>
      </c>
      <c r="N56" s="20">
        <f>IFERROR(K56/M56,"")</f>
        <v/>
      </c>
      <c r="O56" s="21">
        <f>IF(E56="","",IF(J56="","Aberta","Fechada"))</f>
        <v/>
      </c>
      <c r="P56" s="15" t="n"/>
    </row>
    <row r="57">
      <c r="A57" s="14" t="n"/>
      <c r="B57" s="15" t="n"/>
      <c r="C57" s="15" t="n"/>
      <c r="D57" s="15" t="n"/>
      <c r="E57" s="16" t="n"/>
      <c r="F57" s="17" t="n"/>
      <c r="G57" s="18">
        <f>IF(AND(E57&lt;&gt;"",F57&lt;&gt;""),E57*F57,"")</f>
        <v/>
      </c>
      <c r="H57" s="16" t="n"/>
      <c r="I57" s="16" t="n"/>
      <c r="J57" s="16" t="n"/>
      <c r="K57" s="18">
        <f>IF(OR(E57="",F57="",J57=""),"",IF(D57="Short",(E57-J57)*F57,(J57-E57)*F57))</f>
        <v/>
      </c>
      <c r="L57" s="19">
        <f>IFERROR(K57/G57,"")</f>
        <v/>
      </c>
      <c r="M57" s="18">
        <f>IF(OR(E57="",H57="",F57=""),"",IF(D57="Short",(H57-E57)*F57,(E57-H57)*F57))</f>
        <v/>
      </c>
      <c r="N57" s="20">
        <f>IFERROR(K57/M57,"")</f>
        <v/>
      </c>
      <c r="O57" s="21">
        <f>IF(E57="","",IF(J57="","Aberta","Fechada"))</f>
        <v/>
      </c>
      <c r="P57" s="15" t="n"/>
    </row>
    <row r="58">
      <c r="A58" s="14" t="n"/>
      <c r="B58" s="15" t="n"/>
      <c r="C58" s="15" t="n"/>
      <c r="D58" s="15" t="n"/>
      <c r="E58" s="16" t="n"/>
      <c r="F58" s="17" t="n"/>
      <c r="G58" s="18">
        <f>IF(AND(E58&lt;&gt;"",F58&lt;&gt;""),E58*F58,"")</f>
        <v/>
      </c>
      <c r="H58" s="16" t="n"/>
      <c r="I58" s="16" t="n"/>
      <c r="J58" s="16" t="n"/>
      <c r="K58" s="18">
        <f>IF(OR(E58="",F58="",J58=""),"",IF(D58="Short",(E58-J58)*F58,(J58-E58)*F58))</f>
        <v/>
      </c>
      <c r="L58" s="19">
        <f>IFERROR(K58/G58,"")</f>
        <v/>
      </c>
      <c r="M58" s="18">
        <f>IF(OR(E58="",H58="",F58=""),"",IF(D58="Short",(H58-E58)*F58,(E58-H58)*F58))</f>
        <v/>
      </c>
      <c r="N58" s="20">
        <f>IFERROR(K58/M58,"")</f>
        <v/>
      </c>
      <c r="O58" s="21">
        <f>IF(E58="","",IF(J58="","Aberta","Fechada"))</f>
        <v/>
      </c>
      <c r="P58" s="15" t="n"/>
    </row>
    <row r="59">
      <c r="A59" s="14" t="n"/>
      <c r="B59" s="15" t="n"/>
      <c r="C59" s="15" t="n"/>
      <c r="D59" s="15" t="n"/>
      <c r="E59" s="16" t="n"/>
      <c r="F59" s="17" t="n"/>
      <c r="G59" s="18">
        <f>IF(AND(E59&lt;&gt;"",F59&lt;&gt;""),E59*F59,"")</f>
        <v/>
      </c>
      <c r="H59" s="16" t="n"/>
      <c r="I59" s="16" t="n"/>
      <c r="J59" s="16" t="n"/>
      <c r="K59" s="18">
        <f>IF(OR(E59="",F59="",J59=""),"",IF(D59="Short",(E59-J59)*F59,(J59-E59)*F59))</f>
        <v/>
      </c>
      <c r="L59" s="19">
        <f>IFERROR(K59/G59,"")</f>
        <v/>
      </c>
      <c r="M59" s="18">
        <f>IF(OR(E59="",H59="",F59=""),"",IF(D59="Short",(H59-E59)*F59,(E59-H59)*F59))</f>
        <v/>
      </c>
      <c r="N59" s="20">
        <f>IFERROR(K59/M59,"")</f>
        <v/>
      </c>
      <c r="O59" s="21">
        <f>IF(E59="","",IF(J59="","Aberta","Fechada"))</f>
        <v/>
      </c>
      <c r="P59" s="15" t="n"/>
    </row>
    <row r="60">
      <c r="A60" s="14" t="n"/>
      <c r="B60" s="15" t="n"/>
      <c r="C60" s="15" t="n"/>
      <c r="D60" s="15" t="n"/>
      <c r="E60" s="16" t="n"/>
      <c r="F60" s="17" t="n"/>
      <c r="G60" s="18">
        <f>IF(AND(E60&lt;&gt;"",F60&lt;&gt;""),E60*F60,"")</f>
        <v/>
      </c>
      <c r="H60" s="16" t="n"/>
      <c r="I60" s="16" t="n"/>
      <c r="J60" s="16" t="n"/>
      <c r="K60" s="18">
        <f>IF(OR(E60="",F60="",J60=""),"",IF(D60="Short",(E60-J60)*F60,(J60-E60)*F60))</f>
        <v/>
      </c>
      <c r="L60" s="19">
        <f>IFERROR(K60/G60,"")</f>
        <v/>
      </c>
      <c r="M60" s="18">
        <f>IF(OR(E60="",H60="",F60=""),"",IF(D60="Short",(H60-E60)*F60,(E60-H60)*F60))</f>
        <v/>
      </c>
      <c r="N60" s="20">
        <f>IFERROR(K60/M60,"")</f>
        <v/>
      </c>
      <c r="O60" s="21">
        <f>IF(E60="","",IF(J60="","Aberta","Fechada"))</f>
        <v/>
      </c>
      <c r="P60" s="15" t="n"/>
    </row>
    <row r="61">
      <c r="A61" s="14" t="n"/>
      <c r="B61" s="15" t="n"/>
      <c r="C61" s="15" t="n"/>
      <c r="D61" s="15" t="n"/>
      <c r="E61" s="16" t="n"/>
      <c r="F61" s="17" t="n"/>
      <c r="G61" s="18">
        <f>IF(AND(E61&lt;&gt;"",F61&lt;&gt;""),E61*F61,"")</f>
        <v/>
      </c>
      <c r="H61" s="16" t="n"/>
      <c r="I61" s="16" t="n"/>
      <c r="J61" s="16" t="n"/>
      <c r="K61" s="18">
        <f>IF(OR(E61="",F61="",J61=""),"",IF(D61="Short",(E61-J61)*F61,(J61-E61)*F61))</f>
        <v/>
      </c>
      <c r="L61" s="19">
        <f>IFERROR(K61/G61,"")</f>
        <v/>
      </c>
      <c r="M61" s="18">
        <f>IF(OR(E61="",H61="",F61=""),"",IF(D61="Short",(H61-E61)*F61,(E61-H61)*F61))</f>
        <v/>
      </c>
      <c r="N61" s="20">
        <f>IFERROR(K61/M61,"")</f>
        <v/>
      </c>
      <c r="O61" s="21">
        <f>IF(E61="","",IF(J61="","Aberta","Fechada"))</f>
        <v/>
      </c>
      <c r="P61" s="15" t="n"/>
    </row>
    <row r="62">
      <c r="A62" s="14" t="n"/>
      <c r="B62" s="15" t="n"/>
      <c r="C62" s="15" t="n"/>
      <c r="D62" s="15" t="n"/>
      <c r="E62" s="16" t="n"/>
      <c r="F62" s="17" t="n"/>
      <c r="G62" s="18">
        <f>IF(AND(E62&lt;&gt;"",F62&lt;&gt;""),E62*F62,"")</f>
        <v/>
      </c>
      <c r="H62" s="16" t="n"/>
      <c r="I62" s="16" t="n"/>
      <c r="J62" s="16" t="n"/>
      <c r="K62" s="18">
        <f>IF(OR(E62="",F62="",J62=""),"",IF(D62="Short",(E62-J62)*F62,(J62-E62)*F62))</f>
        <v/>
      </c>
      <c r="L62" s="19">
        <f>IFERROR(K62/G62,"")</f>
        <v/>
      </c>
      <c r="M62" s="18">
        <f>IF(OR(E62="",H62="",F62=""),"",IF(D62="Short",(H62-E62)*F62,(E62-H62)*F62))</f>
        <v/>
      </c>
      <c r="N62" s="20">
        <f>IFERROR(K62/M62,"")</f>
        <v/>
      </c>
      <c r="O62" s="21">
        <f>IF(E62="","",IF(J62="","Aberta","Fechada"))</f>
        <v/>
      </c>
      <c r="P62" s="15" t="n"/>
    </row>
    <row r="63">
      <c r="A63" s="14" t="n"/>
      <c r="B63" s="15" t="n"/>
      <c r="C63" s="15" t="n"/>
      <c r="D63" s="15" t="n"/>
      <c r="E63" s="16" t="n"/>
      <c r="F63" s="17" t="n"/>
      <c r="G63" s="18">
        <f>IF(AND(E63&lt;&gt;"",F63&lt;&gt;""),E63*F63,"")</f>
        <v/>
      </c>
      <c r="H63" s="16" t="n"/>
      <c r="I63" s="16" t="n"/>
      <c r="J63" s="16" t="n"/>
      <c r="K63" s="18">
        <f>IF(OR(E63="",F63="",J63=""),"",IF(D63="Short",(E63-J63)*F63,(J63-E63)*F63))</f>
        <v/>
      </c>
      <c r="L63" s="19">
        <f>IFERROR(K63/G63,"")</f>
        <v/>
      </c>
      <c r="M63" s="18">
        <f>IF(OR(E63="",H63="",F63=""),"",IF(D63="Short",(H63-E63)*F63,(E63-H63)*F63))</f>
        <v/>
      </c>
      <c r="N63" s="20">
        <f>IFERROR(K63/M63,"")</f>
        <v/>
      </c>
      <c r="O63" s="21">
        <f>IF(E63="","",IF(J63="","Aberta","Fechada"))</f>
        <v/>
      </c>
      <c r="P63" s="15" t="n"/>
    </row>
    <row r="64">
      <c r="A64" s="14" t="n"/>
      <c r="B64" s="15" t="n"/>
      <c r="C64" s="15" t="n"/>
      <c r="D64" s="15" t="n"/>
      <c r="E64" s="16" t="n"/>
      <c r="F64" s="17" t="n"/>
      <c r="G64" s="18">
        <f>IF(AND(E64&lt;&gt;"",F64&lt;&gt;""),E64*F64,"")</f>
        <v/>
      </c>
      <c r="H64" s="16" t="n"/>
      <c r="I64" s="16" t="n"/>
      <c r="J64" s="16" t="n"/>
      <c r="K64" s="18">
        <f>IF(OR(E64="",F64="",J64=""),"",IF(D64="Short",(E64-J64)*F64,(J64-E64)*F64))</f>
        <v/>
      </c>
      <c r="L64" s="19">
        <f>IFERROR(K64/G64,"")</f>
        <v/>
      </c>
      <c r="M64" s="18">
        <f>IF(OR(E64="",H64="",F64=""),"",IF(D64="Short",(H64-E64)*F64,(E64-H64)*F64))</f>
        <v/>
      </c>
      <c r="N64" s="20">
        <f>IFERROR(K64/M64,"")</f>
        <v/>
      </c>
      <c r="O64" s="21">
        <f>IF(E64="","",IF(J64="","Aberta","Fechada"))</f>
        <v/>
      </c>
      <c r="P64" s="15" t="n"/>
    </row>
    <row r="65">
      <c r="A65" s="14" t="n"/>
      <c r="B65" s="15" t="n"/>
      <c r="C65" s="15" t="n"/>
      <c r="D65" s="15" t="n"/>
      <c r="E65" s="16" t="n"/>
      <c r="F65" s="17" t="n"/>
      <c r="G65" s="18">
        <f>IF(AND(E65&lt;&gt;"",F65&lt;&gt;""),E65*F65,"")</f>
        <v/>
      </c>
      <c r="H65" s="16" t="n"/>
      <c r="I65" s="16" t="n"/>
      <c r="J65" s="16" t="n"/>
      <c r="K65" s="18">
        <f>IF(OR(E65="",F65="",J65=""),"",IF(D65="Short",(E65-J65)*F65,(J65-E65)*F65))</f>
        <v/>
      </c>
      <c r="L65" s="19">
        <f>IFERROR(K65/G65,"")</f>
        <v/>
      </c>
      <c r="M65" s="18">
        <f>IF(OR(E65="",H65="",F65=""),"",IF(D65="Short",(H65-E65)*F65,(E65-H65)*F65))</f>
        <v/>
      </c>
      <c r="N65" s="20">
        <f>IFERROR(K65/M65,"")</f>
        <v/>
      </c>
      <c r="O65" s="21">
        <f>IF(E65="","",IF(J65="","Aberta","Fechada"))</f>
        <v/>
      </c>
      <c r="P65" s="15" t="n"/>
    </row>
    <row r="66">
      <c r="A66" s="14" t="n"/>
      <c r="B66" s="15" t="n"/>
      <c r="C66" s="15" t="n"/>
      <c r="D66" s="15" t="n"/>
      <c r="E66" s="16" t="n"/>
      <c r="F66" s="17" t="n"/>
      <c r="G66" s="18">
        <f>IF(AND(E66&lt;&gt;"",F66&lt;&gt;""),E66*F66,"")</f>
        <v/>
      </c>
      <c r="H66" s="16" t="n"/>
      <c r="I66" s="16" t="n"/>
      <c r="J66" s="16" t="n"/>
      <c r="K66" s="18">
        <f>IF(OR(E66="",F66="",J66=""),"",IF(D66="Short",(E66-J66)*F66,(J66-E66)*F66))</f>
        <v/>
      </c>
      <c r="L66" s="19">
        <f>IFERROR(K66/G66,"")</f>
        <v/>
      </c>
      <c r="M66" s="18">
        <f>IF(OR(E66="",H66="",F66=""),"",IF(D66="Short",(H66-E66)*F66,(E66-H66)*F66))</f>
        <v/>
      </c>
      <c r="N66" s="20">
        <f>IFERROR(K66/M66,"")</f>
        <v/>
      </c>
      <c r="O66" s="21">
        <f>IF(E66="","",IF(J66="","Aberta","Fechada"))</f>
        <v/>
      </c>
      <c r="P66" s="15" t="n"/>
    </row>
    <row r="67">
      <c r="A67" s="14" t="n"/>
      <c r="B67" s="15" t="n"/>
      <c r="C67" s="15" t="n"/>
      <c r="D67" s="15" t="n"/>
      <c r="E67" s="16" t="n"/>
      <c r="F67" s="17" t="n"/>
      <c r="G67" s="18">
        <f>IF(AND(E67&lt;&gt;"",F67&lt;&gt;""),E67*F67,"")</f>
        <v/>
      </c>
      <c r="H67" s="16" t="n"/>
      <c r="I67" s="16" t="n"/>
      <c r="J67" s="16" t="n"/>
      <c r="K67" s="18">
        <f>IF(OR(E67="",F67="",J67=""),"",IF(D67="Short",(E67-J67)*F67,(J67-E67)*F67))</f>
        <v/>
      </c>
      <c r="L67" s="19">
        <f>IFERROR(K67/G67,"")</f>
        <v/>
      </c>
      <c r="M67" s="18">
        <f>IF(OR(E67="",H67="",F67=""),"",IF(D67="Short",(H67-E67)*F67,(E67-H67)*F67))</f>
        <v/>
      </c>
      <c r="N67" s="20">
        <f>IFERROR(K67/M67,"")</f>
        <v/>
      </c>
      <c r="O67" s="21">
        <f>IF(E67="","",IF(J67="","Aberta","Fechada"))</f>
        <v/>
      </c>
      <c r="P67" s="15" t="n"/>
    </row>
    <row r="68">
      <c r="A68" s="14" t="n"/>
      <c r="B68" s="15" t="n"/>
      <c r="C68" s="15" t="n"/>
      <c r="D68" s="15" t="n"/>
      <c r="E68" s="16" t="n"/>
      <c r="F68" s="17" t="n"/>
      <c r="G68" s="18">
        <f>IF(AND(E68&lt;&gt;"",F68&lt;&gt;""),E68*F68,"")</f>
        <v/>
      </c>
      <c r="H68" s="16" t="n"/>
      <c r="I68" s="16" t="n"/>
      <c r="J68" s="16" t="n"/>
      <c r="K68" s="18">
        <f>IF(OR(E68="",F68="",J68=""),"",IF(D68="Short",(E68-J68)*F68,(J68-E68)*F68))</f>
        <v/>
      </c>
      <c r="L68" s="19">
        <f>IFERROR(K68/G68,"")</f>
        <v/>
      </c>
      <c r="M68" s="18">
        <f>IF(OR(E68="",H68="",F68=""),"",IF(D68="Short",(H68-E68)*F68,(E68-H68)*F68))</f>
        <v/>
      </c>
      <c r="N68" s="20">
        <f>IFERROR(K68/M68,"")</f>
        <v/>
      </c>
      <c r="O68" s="21">
        <f>IF(E68="","",IF(J68="","Aberta","Fechada"))</f>
        <v/>
      </c>
      <c r="P68" s="15" t="n"/>
    </row>
    <row r="69">
      <c r="A69" s="14" t="n"/>
      <c r="B69" s="15" t="n"/>
      <c r="C69" s="15" t="n"/>
      <c r="D69" s="15" t="n"/>
      <c r="E69" s="16" t="n"/>
      <c r="F69" s="17" t="n"/>
      <c r="G69" s="18">
        <f>IF(AND(E69&lt;&gt;"",F69&lt;&gt;""),E69*F69,"")</f>
        <v/>
      </c>
      <c r="H69" s="16" t="n"/>
      <c r="I69" s="16" t="n"/>
      <c r="J69" s="16" t="n"/>
      <c r="K69" s="18">
        <f>IF(OR(E69="",F69="",J69=""),"",IF(D69="Short",(E69-J69)*F69,(J69-E69)*F69))</f>
        <v/>
      </c>
      <c r="L69" s="19">
        <f>IFERROR(K69/G69,"")</f>
        <v/>
      </c>
      <c r="M69" s="18">
        <f>IF(OR(E69="",H69="",F69=""),"",IF(D69="Short",(H69-E69)*F69,(E69-H69)*F69))</f>
        <v/>
      </c>
      <c r="N69" s="20">
        <f>IFERROR(K69/M69,"")</f>
        <v/>
      </c>
      <c r="O69" s="21">
        <f>IF(E69="","",IF(J69="","Aberta","Fechada"))</f>
        <v/>
      </c>
      <c r="P69" s="15" t="n"/>
    </row>
    <row r="70">
      <c r="A70" s="14" t="n"/>
      <c r="B70" s="15" t="n"/>
      <c r="C70" s="15" t="n"/>
      <c r="D70" s="15" t="n"/>
      <c r="E70" s="16" t="n"/>
      <c r="F70" s="17" t="n"/>
      <c r="G70" s="18">
        <f>IF(AND(E70&lt;&gt;"",F70&lt;&gt;""),E70*F70,"")</f>
        <v/>
      </c>
      <c r="H70" s="16" t="n"/>
      <c r="I70" s="16" t="n"/>
      <c r="J70" s="16" t="n"/>
      <c r="K70" s="18">
        <f>IF(OR(E70="",F70="",J70=""),"",IF(D70="Short",(E70-J70)*F70,(J70-E70)*F70))</f>
        <v/>
      </c>
      <c r="L70" s="19">
        <f>IFERROR(K70/G70,"")</f>
        <v/>
      </c>
      <c r="M70" s="18">
        <f>IF(OR(E70="",H70="",F70=""),"",IF(D70="Short",(H70-E70)*F70,(E70-H70)*F70))</f>
        <v/>
      </c>
      <c r="N70" s="20">
        <f>IFERROR(K70/M70,"")</f>
        <v/>
      </c>
      <c r="O70" s="21">
        <f>IF(E70="","",IF(J70="","Aberta","Fechada"))</f>
        <v/>
      </c>
      <c r="P70" s="15" t="n"/>
    </row>
    <row r="71">
      <c r="A71" s="14" t="n"/>
      <c r="B71" s="15" t="n"/>
      <c r="C71" s="15" t="n"/>
      <c r="D71" s="15" t="n"/>
      <c r="E71" s="16" t="n"/>
      <c r="F71" s="17" t="n"/>
      <c r="G71" s="18">
        <f>IF(AND(E71&lt;&gt;"",F71&lt;&gt;""),E71*F71,"")</f>
        <v/>
      </c>
      <c r="H71" s="16" t="n"/>
      <c r="I71" s="16" t="n"/>
      <c r="J71" s="16" t="n"/>
      <c r="K71" s="18">
        <f>IF(OR(E71="",F71="",J71=""),"",IF(D71="Short",(E71-J71)*F71,(J71-E71)*F71))</f>
        <v/>
      </c>
      <c r="L71" s="19">
        <f>IFERROR(K71/G71,"")</f>
        <v/>
      </c>
      <c r="M71" s="18">
        <f>IF(OR(E71="",H71="",F71=""),"",IF(D71="Short",(H71-E71)*F71,(E71-H71)*F71))</f>
        <v/>
      </c>
      <c r="N71" s="20">
        <f>IFERROR(K71/M71,"")</f>
        <v/>
      </c>
      <c r="O71" s="21">
        <f>IF(E71="","",IF(J71="","Aberta","Fechada"))</f>
        <v/>
      </c>
      <c r="P71" s="15" t="n"/>
    </row>
    <row r="72">
      <c r="A72" s="14" t="n"/>
      <c r="B72" s="15" t="n"/>
      <c r="C72" s="15" t="n"/>
      <c r="D72" s="15" t="n"/>
      <c r="E72" s="16" t="n"/>
      <c r="F72" s="17" t="n"/>
      <c r="G72" s="18">
        <f>IF(AND(E72&lt;&gt;"",F72&lt;&gt;""),E72*F72,"")</f>
        <v/>
      </c>
      <c r="H72" s="16" t="n"/>
      <c r="I72" s="16" t="n"/>
      <c r="J72" s="16" t="n"/>
      <c r="K72" s="18">
        <f>IF(OR(E72="",F72="",J72=""),"",IF(D72="Short",(E72-J72)*F72,(J72-E72)*F72))</f>
        <v/>
      </c>
      <c r="L72" s="19">
        <f>IFERROR(K72/G72,"")</f>
        <v/>
      </c>
      <c r="M72" s="18">
        <f>IF(OR(E72="",H72="",F72=""),"",IF(D72="Short",(H72-E72)*F72,(E72-H72)*F72))</f>
        <v/>
      </c>
      <c r="N72" s="20">
        <f>IFERROR(K72/M72,"")</f>
        <v/>
      </c>
      <c r="O72" s="21">
        <f>IF(E72="","",IF(J72="","Aberta","Fechada"))</f>
        <v/>
      </c>
      <c r="P72" s="15" t="n"/>
    </row>
    <row r="73">
      <c r="A73" s="14" t="n"/>
      <c r="B73" s="15" t="n"/>
      <c r="C73" s="15" t="n"/>
      <c r="D73" s="15" t="n"/>
      <c r="E73" s="16" t="n"/>
      <c r="F73" s="17" t="n"/>
      <c r="G73" s="18">
        <f>IF(AND(E73&lt;&gt;"",F73&lt;&gt;""),E73*F73,"")</f>
        <v/>
      </c>
      <c r="H73" s="16" t="n"/>
      <c r="I73" s="16" t="n"/>
      <c r="J73" s="16" t="n"/>
      <c r="K73" s="18">
        <f>IF(OR(E73="",F73="",J73=""),"",IF(D73="Short",(E73-J73)*F73,(J73-E73)*F73))</f>
        <v/>
      </c>
      <c r="L73" s="19">
        <f>IFERROR(K73/G73,"")</f>
        <v/>
      </c>
      <c r="M73" s="18">
        <f>IF(OR(E73="",H73="",F73=""),"",IF(D73="Short",(H73-E73)*F73,(E73-H73)*F73))</f>
        <v/>
      </c>
      <c r="N73" s="20">
        <f>IFERROR(K73/M73,"")</f>
        <v/>
      </c>
      <c r="O73" s="21">
        <f>IF(E73="","",IF(J73="","Aberta","Fechada"))</f>
        <v/>
      </c>
      <c r="P73" s="15" t="n"/>
    </row>
    <row r="74">
      <c r="A74" s="14" t="n"/>
      <c r="B74" s="15" t="n"/>
      <c r="C74" s="15" t="n"/>
      <c r="D74" s="15" t="n"/>
      <c r="E74" s="16" t="n"/>
      <c r="F74" s="17" t="n"/>
      <c r="G74" s="18">
        <f>IF(AND(E74&lt;&gt;"",F74&lt;&gt;""),E74*F74,"")</f>
        <v/>
      </c>
      <c r="H74" s="16" t="n"/>
      <c r="I74" s="16" t="n"/>
      <c r="J74" s="16" t="n"/>
      <c r="K74" s="18">
        <f>IF(OR(E74="",F74="",J74=""),"",IF(D74="Short",(E74-J74)*F74,(J74-E74)*F74))</f>
        <v/>
      </c>
      <c r="L74" s="19">
        <f>IFERROR(K74/G74,"")</f>
        <v/>
      </c>
      <c r="M74" s="18">
        <f>IF(OR(E74="",H74="",F74=""),"",IF(D74="Short",(H74-E74)*F74,(E74-H74)*F74))</f>
        <v/>
      </c>
      <c r="N74" s="20">
        <f>IFERROR(K74/M74,"")</f>
        <v/>
      </c>
      <c r="O74" s="21">
        <f>IF(E74="","",IF(J74="","Aberta","Fechada"))</f>
        <v/>
      </c>
      <c r="P74" s="15" t="n"/>
    </row>
    <row r="75">
      <c r="A75" s="14" t="n"/>
      <c r="B75" s="15" t="n"/>
      <c r="C75" s="15" t="n"/>
      <c r="D75" s="15" t="n"/>
      <c r="E75" s="16" t="n"/>
      <c r="F75" s="17" t="n"/>
      <c r="G75" s="18">
        <f>IF(AND(E75&lt;&gt;"",F75&lt;&gt;""),E75*F75,"")</f>
        <v/>
      </c>
      <c r="H75" s="16" t="n"/>
      <c r="I75" s="16" t="n"/>
      <c r="J75" s="16" t="n"/>
      <c r="K75" s="18">
        <f>IF(OR(E75="",F75="",J75=""),"",IF(D75="Short",(E75-J75)*F75,(J75-E75)*F75))</f>
        <v/>
      </c>
      <c r="L75" s="19">
        <f>IFERROR(K75/G75,"")</f>
        <v/>
      </c>
      <c r="M75" s="18">
        <f>IF(OR(E75="",H75="",F75=""),"",IF(D75="Short",(H75-E75)*F75,(E75-H75)*F75))</f>
        <v/>
      </c>
      <c r="N75" s="20">
        <f>IFERROR(K75/M75,"")</f>
        <v/>
      </c>
      <c r="O75" s="21">
        <f>IF(E75="","",IF(J75="","Aberta","Fechada"))</f>
        <v/>
      </c>
      <c r="P75" s="15" t="n"/>
    </row>
    <row r="76">
      <c r="A76" s="14" t="n"/>
      <c r="B76" s="15" t="n"/>
      <c r="C76" s="15" t="n"/>
      <c r="D76" s="15" t="n"/>
      <c r="E76" s="16" t="n"/>
      <c r="F76" s="17" t="n"/>
      <c r="G76" s="18">
        <f>IF(AND(E76&lt;&gt;"",F76&lt;&gt;""),E76*F76,"")</f>
        <v/>
      </c>
      <c r="H76" s="16" t="n"/>
      <c r="I76" s="16" t="n"/>
      <c r="J76" s="16" t="n"/>
      <c r="K76" s="18">
        <f>IF(OR(E76="",F76="",J76=""),"",IF(D76="Short",(E76-J76)*F76,(J76-E76)*F76))</f>
        <v/>
      </c>
      <c r="L76" s="19">
        <f>IFERROR(K76/G76,"")</f>
        <v/>
      </c>
      <c r="M76" s="18">
        <f>IF(OR(E76="",H76="",F76=""),"",IF(D76="Short",(H76-E76)*F76,(E76-H76)*F76))</f>
        <v/>
      </c>
      <c r="N76" s="20">
        <f>IFERROR(K76/M76,"")</f>
        <v/>
      </c>
      <c r="O76" s="21">
        <f>IF(E76="","",IF(J76="","Aberta","Fechada"))</f>
        <v/>
      </c>
      <c r="P76" s="15" t="n"/>
    </row>
    <row r="77">
      <c r="A77" s="14" t="n"/>
      <c r="B77" s="15" t="n"/>
      <c r="C77" s="15" t="n"/>
      <c r="D77" s="15" t="n"/>
      <c r="E77" s="16" t="n"/>
      <c r="F77" s="17" t="n"/>
      <c r="G77" s="18">
        <f>IF(AND(E77&lt;&gt;"",F77&lt;&gt;""),E77*F77,"")</f>
        <v/>
      </c>
      <c r="H77" s="16" t="n"/>
      <c r="I77" s="16" t="n"/>
      <c r="J77" s="16" t="n"/>
      <c r="K77" s="18">
        <f>IF(OR(E77="",F77="",J77=""),"",IF(D77="Short",(E77-J77)*F77,(J77-E77)*F77))</f>
        <v/>
      </c>
      <c r="L77" s="19">
        <f>IFERROR(K77/G77,"")</f>
        <v/>
      </c>
      <c r="M77" s="18">
        <f>IF(OR(E77="",H77="",F77=""),"",IF(D77="Short",(H77-E77)*F77,(E77-H77)*F77))</f>
        <v/>
      </c>
      <c r="N77" s="20">
        <f>IFERROR(K77/M77,"")</f>
        <v/>
      </c>
      <c r="O77" s="21">
        <f>IF(E77="","",IF(J77="","Aberta","Fechada"))</f>
        <v/>
      </c>
      <c r="P77" s="15" t="n"/>
    </row>
    <row r="78">
      <c r="A78" s="14" t="n"/>
      <c r="B78" s="15" t="n"/>
      <c r="C78" s="15" t="n"/>
      <c r="D78" s="15" t="n"/>
      <c r="E78" s="16" t="n"/>
      <c r="F78" s="17" t="n"/>
      <c r="G78" s="18">
        <f>IF(AND(E78&lt;&gt;"",F78&lt;&gt;""),E78*F78,"")</f>
        <v/>
      </c>
      <c r="H78" s="16" t="n"/>
      <c r="I78" s="16" t="n"/>
      <c r="J78" s="16" t="n"/>
      <c r="K78" s="18">
        <f>IF(OR(E78="",F78="",J78=""),"",IF(D78="Short",(E78-J78)*F78,(J78-E78)*F78))</f>
        <v/>
      </c>
      <c r="L78" s="19">
        <f>IFERROR(K78/G78,"")</f>
        <v/>
      </c>
      <c r="M78" s="18">
        <f>IF(OR(E78="",H78="",F78=""),"",IF(D78="Short",(H78-E78)*F78,(E78-H78)*F78))</f>
        <v/>
      </c>
      <c r="N78" s="20">
        <f>IFERROR(K78/M78,"")</f>
        <v/>
      </c>
      <c r="O78" s="21">
        <f>IF(E78="","",IF(J78="","Aberta","Fechada"))</f>
        <v/>
      </c>
      <c r="P78" s="15" t="n"/>
    </row>
    <row r="79">
      <c r="A79" s="14" t="n"/>
      <c r="B79" s="15" t="n"/>
      <c r="C79" s="15" t="n"/>
      <c r="D79" s="15" t="n"/>
      <c r="E79" s="16" t="n"/>
      <c r="F79" s="17" t="n"/>
      <c r="G79" s="18">
        <f>IF(AND(E79&lt;&gt;"",F79&lt;&gt;""),E79*F79,"")</f>
        <v/>
      </c>
      <c r="H79" s="16" t="n"/>
      <c r="I79" s="16" t="n"/>
      <c r="J79" s="16" t="n"/>
      <c r="K79" s="18">
        <f>IF(OR(E79="",F79="",J79=""),"",IF(D79="Short",(E79-J79)*F79,(J79-E79)*F79))</f>
        <v/>
      </c>
      <c r="L79" s="19">
        <f>IFERROR(K79/G79,"")</f>
        <v/>
      </c>
      <c r="M79" s="18">
        <f>IF(OR(E79="",H79="",F79=""),"",IF(D79="Short",(H79-E79)*F79,(E79-H79)*F79))</f>
        <v/>
      </c>
      <c r="N79" s="20">
        <f>IFERROR(K79/M79,"")</f>
        <v/>
      </c>
      <c r="O79" s="21">
        <f>IF(E79="","",IF(J79="","Aberta","Fechada"))</f>
        <v/>
      </c>
      <c r="P79" s="15" t="n"/>
    </row>
    <row r="80">
      <c r="A80" s="14" t="n"/>
      <c r="B80" s="15" t="n"/>
      <c r="C80" s="15" t="n"/>
      <c r="D80" s="15" t="n"/>
      <c r="E80" s="16" t="n"/>
      <c r="F80" s="17" t="n"/>
      <c r="G80" s="18">
        <f>IF(AND(E80&lt;&gt;"",F80&lt;&gt;""),E80*F80,"")</f>
        <v/>
      </c>
      <c r="H80" s="16" t="n"/>
      <c r="I80" s="16" t="n"/>
      <c r="J80" s="16" t="n"/>
      <c r="K80" s="18">
        <f>IF(OR(E80="",F80="",J80=""),"",IF(D80="Short",(E80-J80)*F80,(J80-E80)*F80))</f>
        <v/>
      </c>
      <c r="L80" s="19">
        <f>IFERROR(K80/G80,"")</f>
        <v/>
      </c>
      <c r="M80" s="18">
        <f>IF(OR(E80="",H80="",F80=""),"",IF(D80="Short",(H80-E80)*F80,(E80-H80)*F80))</f>
        <v/>
      </c>
      <c r="N80" s="20">
        <f>IFERROR(K80/M80,"")</f>
        <v/>
      </c>
      <c r="O80" s="21">
        <f>IF(E80="","",IF(J80="","Aberta","Fechada"))</f>
        <v/>
      </c>
      <c r="P80" s="15" t="n"/>
    </row>
    <row r="81">
      <c r="A81" s="14" t="n"/>
      <c r="B81" s="15" t="n"/>
      <c r="C81" s="15" t="n"/>
      <c r="D81" s="15" t="n"/>
      <c r="E81" s="16" t="n"/>
      <c r="F81" s="17" t="n"/>
      <c r="G81" s="18">
        <f>IF(AND(E81&lt;&gt;"",F81&lt;&gt;""),E81*F81,"")</f>
        <v/>
      </c>
      <c r="H81" s="16" t="n"/>
      <c r="I81" s="16" t="n"/>
      <c r="J81" s="16" t="n"/>
      <c r="K81" s="18">
        <f>IF(OR(E81="",F81="",J81=""),"",IF(D81="Short",(E81-J81)*F81,(J81-E81)*F81))</f>
        <v/>
      </c>
      <c r="L81" s="19">
        <f>IFERROR(K81/G81,"")</f>
        <v/>
      </c>
      <c r="M81" s="18">
        <f>IF(OR(E81="",H81="",F81=""),"",IF(D81="Short",(H81-E81)*F81,(E81-H81)*F81))</f>
        <v/>
      </c>
      <c r="N81" s="20">
        <f>IFERROR(K81/M81,"")</f>
        <v/>
      </c>
      <c r="O81" s="21">
        <f>IF(E81="","",IF(J81="","Aberta","Fechada"))</f>
        <v/>
      </c>
      <c r="P81" s="15" t="n"/>
    </row>
    <row r="82">
      <c r="A82" s="14" t="n"/>
      <c r="B82" s="15" t="n"/>
      <c r="C82" s="15" t="n"/>
      <c r="D82" s="15" t="n"/>
      <c r="E82" s="16" t="n"/>
      <c r="F82" s="17" t="n"/>
      <c r="G82" s="18">
        <f>IF(AND(E82&lt;&gt;"",F82&lt;&gt;""),E82*F82,"")</f>
        <v/>
      </c>
      <c r="H82" s="16" t="n"/>
      <c r="I82" s="16" t="n"/>
      <c r="J82" s="16" t="n"/>
      <c r="K82" s="18">
        <f>IF(OR(E82="",F82="",J82=""),"",IF(D82="Short",(E82-J82)*F82,(J82-E82)*F82))</f>
        <v/>
      </c>
      <c r="L82" s="19">
        <f>IFERROR(K82/G82,"")</f>
        <v/>
      </c>
      <c r="M82" s="18">
        <f>IF(OR(E82="",H82="",F82=""),"",IF(D82="Short",(H82-E82)*F82,(E82-H82)*F82))</f>
        <v/>
      </c>
      <c r="N82" s="20">
        <f>IFERROR(K82/M82,"")</f>
        <v/>
      </c>
      <c r="O82" s="21">
        <f>IF(E82="","",IF(J82="","Aberta","Fechada"))</f>
        <v/>
      </c>
      <c r="P82" s="15" t="n"/>
    </row>
    <row r="83">
      <c r="A83" s="14" t="n"/>
      <c r="B83" s="15" t="n"/>
      <c r="C83" s="15" t="n"/>
      <c r="D83" s="15" t="n"/>
      <c r="E83" s="16" t="n"/>
      <c r="F83" s="17" t="n"/>
      <c r="G83" s="18">
        <f>IF(AND(E83&lt;&gt;"",F83&lt;&gt;""),E83*F83,"")</f>
        <v/>
      </c>
      <c r="H83" s="16" t="n"/>
      <c r="I83" s="16" t="n"/>
      <c r="J83" s="16" t="n"/>
      <c r="K83" s="18">
        <f>IF(OR(E83="",F83="",J83=""),"",IF(D83="Short",(E83-J83)*F83,(J83-E83)*F83))</f>
        <v/>
      </c>
      <c r="L83" s="19">
        <f>IFERROR(K83/G83,"")</f>
        <v/>
      </c>
      <c r="M83" s="18">
        <f>IF(OR(E83="",H83="",F83=""),"",IF(D83="Short",(H83-E83)*F83,(E83-H83)*F83))</f>
        <v/>
      </c>
      <c r="N83" s="20">
        <f>IFERROR(K83/M83,"")</f>
        <v/>
      </c>
      <c r="O83" s="21">
        <f>IF(E83="","",IF(J83="","Aberta","Fechada"))</f>
        <v/>
      </c>
      <c r="P83" s="15" t="n"/>
    </row>
    <row r="84">
      <c r="A84" s="14" t="n"/>
      <c r="B84" s="15" t="n"/>
      <c r="C84" s="15" t="n"/>
      <c r="D84" s="15" t="n"/>
      <c r="E84" s="16" t="n"/>
      <c r="F84" s="17" t="n"/>
      <c r="G84" s="18">
        <f>IF(AND(E84&lt;&gt;"",F84&lt;&gt;""),E84*F84,"")</f>
        <v/>
      </c>
      <c r="H84" s="16" t="n"/>
      <c r="I84" s="16" t="n"/>
      <c r="J84" s="16" t="n"/>
      <c r="K84" s="18">
        <f>IF(OR(E84="",F84="",J84=""),"",IF(D84="Short",(E84-J84)*F84,(J84-E84)*F84))</f>
        <v/>
      </c>
      <c r="L84" s="19">
        <f>IFERROR(K84/G84,"")</f>
        <v/>
      </c>
      <c r="M84" s="18">
        <f>IF(OR(E84="",H84="",F84=""),"",IF(D84="Short",(H84-E84)*F84,(E84-H84)*F84))</f>
        <v/>
      </c>
      <c r="N84" s="20">
        <f>IFERROR(K84/M84,"")</f>
        <v/>
      </c>
      <c r="O84" s="21">
        <f>IF(E84="","",IF(J84="","Aberta","Fechada"))</f>
        <v/>
      </c>
      <c r="P84" s="15" t="n"/>
    </row>
    <row r="85">
      <c r="A85" s="14" t="n"/>
      <c r="B85" s="15" t="n"/>
      <c r="C85" s="15" t="n"/>
      <c r="D85" s="15" t="n"/>
      <c r="E85" s="16" t="n"/>
      <c r="F85" s="17" t="n"/>
      <c r="G85" s="18">
        <f>IF(AND(E85&lt;&gt;"",F85&lt;&gt;""),E85*F85,"")</f>
        <v/>
      </c>
      <c r="H85" s="16" t="n"/>
      <c r="I85" s="16" t="n"/>
      <c r="J85" s="16" t="n"/>
      <c r="K85" s="18">
        <f>IF(OR(E85="",F85="",J85=""),"",IF(D85="Short",(E85-J85)*F85,(J85-E85)*F85))</f>
        <v/>
      </c>
      <c r="L85" s="19">
        <f>IFERROR(K85/G85,"")</f>
        <v/>
      </c>
      <c r="M85" s="18">
        <f>IF(OR(E85="",H85="",F85=""),"",IF(D85="Short",(H85-E85)*F85,(E85-H85)*F85))</f>
        <v/>
      </c>
      <c r="N85" s="20">
        <f>IFERROR(K85/M85,"")</f>
        <v/>
      </c>
      <c r="O85" s="21">
        <f>IF(E85="","",IF(J85="","Aberta","Fechada"))</f>
        <v/>
      </c>
      <c r="P85" s="15" t="n"/>
    </row>
    <row r="86">
      <c r="A86" s="14" t="n"/>
      <c r="B86" s="15" t="n"/>
      <c r="C86" s="15" t="n"/>
      <c r="D86" s="15" t="n"/>
      <c r="E86" s="16" t="n"/>
      <c r="F86" s="17" t="n"/>
      <c r="G86" s="18">
        <f>IF(AND(E86&lt;&gt;"",F86&lt;&gt;""),E86*F86,"")</f>
        <v/>
      </c>
      <c r="H86" s="16" t="n"/>
      <c r="I86" s="16" t="n"/>
      <c r="J86" s="16" t="n"/>
      <c r="K86" s="18">
        <f>IF(OR(E86="",F86="",J86=""),"",IF(D86="Short",(E86-J86)*F86,(J86-E86)*F86))</f>
        <v/>
      </c>
      <c r="L86" s="19">
        <f>IFERROR(K86/G86,"")</f>
        <v/>
      </c>
      <c r="M86" s="18">
        <f>IF(OR(E86="",H86="",F86=""),"",IF(D86="Short",(H86-E86)*F86,(E86-H86)*F86))</f>
        <v/>
      </c>
      <c r="N86" s="20">
        <f>IFERROR(K86/M86,"")</f>
        <v/>
      </c>
      <c r="O86" s="21">
        <f>IF(E86="","",IF(J86="","Aberta","Fechada"))</f>
        <v/>
      </c>
      <c r="P86" s="15" t="n"/>
    </row>
    <row r="87">
      <c r="A87" s="14" t="n"/>
      <c r="B87" s="15" t="n"/>
      <c r="C87" s="15" t="n"/>
      <c r="D87" s="15" t="n"/>
      <c r="E87" s="16" t="n"/>
      <c r="F87" s="17" t="n"/>
      <c r="G87" s="18">
        <f>IF(AND(E87&lt;&gt;"",F87&lt;&gt;""),E87*F87,"")</f>
        <v/>
      </c>
      <c r="H87" s="16" t="n"/>
      <c r="I87" s="16" t="n"/>
      <c r="J87" s="16" t="n"/>
      <c r="K87" s="18">
        <f>IF(OR(E87="",F87="",J87=""),"",IF(D87="Short",(E87-J87)*F87,(J87-E87)*F87))</f>
        <v/>
      </c>
      <c r="L87" s="19">
        <f>IFERROR(K87/G87,"")</f>
        <v/>
      </c>
      <c r="M87" s="18">
        <f>IF(OR(E87="",H87="",F87=""),"",IF(D87="Short",(H87-E87)*F87,(E87-H87)*F87))</f>
        <v/>
      </c>
      <c r="N87" s="20">
        <f>IFERROR(K87/M87,"")</f>
        <v/>
      </c>
      <c r="O87" s="21">
        <f>IF(E87="","",IF(J87="","Aberta","Fechada"))</f>
        <v/>
      </c>
      <c r="P87" s="15" t="n"/>
    </row>
    <row r="88">
      <c r="A88" s="14" t="n"/>
      <c r="B88" s="15" t="n"/>
      <c r="C88" s="15" t="n"/>
      <c r="D88" s="15" t="n"/>
      <c r="E88" s="16" t="n"/>
      <c r="F88" s="17" t="n"/>
      <c r="G88" s="18">
        <f>IF(AND(E88&lt;&gt;"",F88&lt;&gt;""),E88*F88,"")</f>
        <v/>
      </c>
      <c r="H88" s="16" t="n"/>
      <c r="I88" s="16" t="n"/>
      <c r="J88" s="16" t="n"/>
      <c r="K88" s="18">
        <f>IF(OR(E88="",F88="",J88=""),"",IF(D88="Short",(E88-J88)*F88,(J88-E88)*F88))</f>
        <v/>
      </c>
      <c r="L88" s="19">
        <f>IFERROR(K88/G88,"")</f>
        <v/>
      </c>
      <c r="M88" s="18">
        <f>IF(OR(E88="",H88="",F88=""),"",IF(D88="Short",(H88-E88)*F88,(E88-H88)*F88))</f>
        <v/>
      </c>
      <c r="N88" s="20">
        <f>IFERROR(K88/M88,"")</f>
        <v/>
      </c>
      <c r="O88" s="21">
        <f>IF(E88="","",IF(J88="","Aberta","Fechada"))</f>
        <v/>
      </c>
      <c r="P88" s="15" t="n"/>
    </row>
    <row r="89">
      <c r="A89" s="14" t="n"/>
      <c r="B89" s="15" t="n"/>
      <c r="C89" s="15" t="n"/>
      <c r="D89" s="15" t="n"/>
      <c r="E89" s="16" t="n"/>
      <c r="F89" s="17" t="n"/>
      <c r="G89" s="18">
        <f>IF(AND(E89&lt;&gt;"",F89&lt;&gt;""),E89*F89,"")</f>
        <v/>
      </c>
      <c r="H89" s="16" t="n"/>
      <c r="I89" s="16" t="n"/>
      <c r="J89" s="16" t="n"/>
      <c r="K89" s="18">
        <f>IF(OR(E89="",F89="",J89=""),"",IF(D89="Short",(E89-J89)*F89,(J89-E89)*F89))</f>
        <v/>
      </c>
      <c r="L89" s="19">
        <f>IFERROR(K89/G89,"")</f>
        <v/>
      </c>
      <c r="M89" s="18">
        <f>IF(OR(E89="",H89="",F89=""),"",IF(D89="Short",(H89-E89)*F89,(E89-H89)*F89))</f>
        <v/>
      </c>
      <c r="N89" s="20">
        <f>IFERROR(K89/M89,"")</f>
        <v/>
      </c>
      <c r="O89" s="21">
        <f>IF(E89="","",IF(J89="","Aberta","Fechada"))</f>
        <v/>
      </c>
      <c r="P89" s="15" t="n"/>
    </row>
    <row r="90">
      <c r="A90" s="14" t="n"/>
      <c r="B90" s="15" t="n"/>
      <c r="C90" s="15" t="n"/>
      <c r="D90" s="15" t="n"/>
      <c r="E90" s="16" t="n"/>
      <c r="F90" s="17" t="n"/>
      <c r="G90" s="18">
        <f>IF(AND(E90&lt;&gt;"",F90&lt;&gt;""),E90*F90,"")</f>
        <v/>
      </c>
      <c r="H90" s="16" t="n"/>
      <c r="I90" s="16" t="n"/>
      <c r="J90" s="16" t="n"/>
      <c r="K90" s="18">
        <f>IF(OR(E90="",F90="",J90=""),"",IF(D90="Short",(E90-J90)*F90,(J90-E90)*F90))</f>
        <v/>
      </c>
      <c r="L90" s="19">
        <f>IFERROR(K90/G90,"")</f>
        <v/>
      </c>
      <c r="M90" s="18">
        <f>IF(OR(E90="",H90="",F90=""),"",IF(D90="Short",(H90-E90)*F90,(E90-H90)*F90))</f>
        <v/>
      </c>
      <c r="N90" s="20">
        <f>IFERROR(K90/M90,"")</f>
        <v/>
      </c>
      <c r="O90" s="21">
        <f>IF(E90="","",IF(J90="","Aberta","Fechada"))</f>
        <v/>
      </c>
      <c r="P90" s="15" t="n"/>
    </row>
    <row r="91">
      <c r="A91" s="14" t="n"/>
      <c r="B91" s="15" t="n"/>
      <c r="C91" s="15" t="n"/>
      <c r="D91" s="15" t="n"/>
      <c r="E91" s="16" t="n"/>
      <c r="F91" s="17" t="n"/>
      <c r="G91" s="18">
        <f>IF(AND(E91&lt;&gt;"",F91&lt;&gt;""),E91*F91,"")</f>
        <v/>
      </c>
      <c r="H91" s="16" t="n"/>
      <c r="I91" s="16" t="n"/>
      <c r="J91" s="16" t="n"/>
      <c r="K91" s="18">
        <f>IF(OR(E91="",F91="",J91=""),"",IF(D91="Short",(E91-J91)*F91,(J91-E91)*F91))</f>
        <v/>
      </c>
      <c r="L91" s="19">
        <f>IFERROR(K91/G91,"")</f>
        <v/>
      </c>
      <c r="M91" s="18">
        <f>IF(OR(E91="",H91="",F91=""),"",IF(D91="Short",(H91-E91)*F91,(E91-H91)*F91))</f>
        <v/>
      </c>
      <c r="N91" s="20">
        <f>IFERROR(K91/M91,"")</f>
        <v/>
      </c>
      <c r="O91" s="21">
        <f>IF(E91="","",IF(J91="","Aberta","Fechada"))</f>
        <v/>
      </c>
      <c r="P91" s="15" t="n"/>
    </row>
    <row r="92">
      <c r="A92" s="14" t="n"/>
      <c r="B92" s="15" t="n"/>
      <c r="C92" s="15" t="n"/>
      <c r="D92" s="15" t="n"/>
      <c r="E92" s="16" t="n"/>
      <c r="F92" s="17" t="n"/>
      <c r="G92" s="18">
        <f>IF(AND(E92&lt;&gt;"",F92&lt;&gt;""),E92*F92,"")</f>
        <v/>
      </c>
      <c r="H92" s="16" t="n"/>
      <c r="I92" s="16" t="n"/>
      <c r="J92" s="16" t="n"/>
      <c r="K92" s="18">
        <f>IF(OR(E92="",F92="",J92=""),"",IF(D92="Short",(E92-J92)*F92,(J92-E92)*F92))</f>
        <v/>
      </c>
      <c r="L92" s="19">
        <f>IFERROR(K92/G92,"")</f>
        <v/>
      </c>
      <c r="M92" s="18">
        <f>IF(OR(E92="",H92="",F92=""),"",IF(D92="Short",(H92-E92)*F92,(E92-H92)*F92))</f>
        <v/>
      </c>
      <c r="N92" s="20">
        <f>IFERROR(K92/M92,"")</f>
        <v/>
      </c>
      <c r="O92" s="21">
        <f>IF(E92="","",IF(J92="","Aberta","Fechada"))</f>
        <v/>
      </c>
      <c r="P92" s="15" t="n"/>
    </row>
    <row r="93">
      <c r="A93" s="14" t="n"/>
      <c r="B93" s="15" t="n"/>
      <c r="C93" s="15" t="n"/>
      <c r="D93" s="15" t="n"/>
      <c r="E93" s="16" t="n"/>
      <c r="F93" s="17" t="n"/>
      <c r="G93" s="18">
        <f>IF(AND(E93&lt;&gt;"",F93&lt;&gt;""),E93*F93,"")</f>
        <v/>
      </c>
      <c r="H93" s="16" t="n"/>
      <c r="I93" s="16" t="n"/>
      <c r="J93" s="16" t="n"/>
      <c r="K93" s="18">
        <f>IF(OR(E93="",F93="",J93=""),"",IF(D93="Short",(E93-J93)*F93,(J93-E93)*F93))</f>
        <v/>
      </c>
      <c r="L93" s="19">
        <f>IFERROR(K93/G93,"")</f>
        <v/>
      </c>
      <c r="M93" s="18">
        <f>IF(OR(E93="",H93="",F93=""),"",IF(D93="Short",(H93-E93)*F93,(E93-H93)*F93))</f>
        <v/>
      </c>
      <c r="N93" s="20">
        <f>IFERROR(K93/M93,"")</f>
        <v/>
      </c>
      <c r="O93" s="21">
        <f>IF(E93="","",IF(J93="","Aberta","Fechada"))</f>
        <v/>
      </c>
      <c r="P93" s="15" t="n"/>
    </row>
    <row r="94">
      <c r="A94" s="14" t="n"/>
      <c r="B94" s="15" t="n"/>
      <c r="C94" s="15" t="n"/>
      <c r="D94" s="15" t="n"/>
      <c r="E94" s="16" t="n"/>
      <c r="F94" s="17" t="n"/>
      <c r="G94" s="18">
        <f>IF(AND(E94&lt;&gt;"",F94&lt;&gt;""),E94*F94,"")</f>
        <v/>
      </c>
      <c r="H94" s="16" t="n"/>
      <c r="I94" s="16" t="n"/>
      <c r="J94" s="16" t="n"/>
      <c r="K94" s="18">
        <f>IF(OR(E94="",F94="",J94=""),"",IF(D94="Short",(E94-J94)*F94,(J94-E94)*F94))</f>
        <v/>
      </c>
      <c r="L94" s="19">
        <f>IFERROR(K94/G94,"")</f>
        <v/>
      </c>
      <c r="M94" s="18">
        <f>IF(OR(E94="",H94="",F94=""),"",IF(D94="Short",(H94-E94)*F94,(E94-H94)*F94))</f>
        <v/>
      </c>
      <c r="N94" s="20">
        <f>IFERROR(K94/M94,"")</f>
        <v/>
      </c>
      <c r="O94" s="21">
        <f>IF(E94="","",IF(J94="","Aberta","Fechada"))</f>
        <v/>
      </c>
      <c r="P94" s="15" t="n"/>
    </row>
    <row r="95">
      <c r="A95" s="14" t="n"/>
      <c r="B95" s="15" t="n"/>
      <c r="C95" s="15" t="n"/>
      <c r="D95" s="15" t="n"/>
      <c r="E95" s="16" t="n"/>
      <c r="F95" s="17" t="n"/>
      <c r="G95" s="18">
        <f>IF(AND(E95&lt;&gt;"",F95&lt;&gt;""),E95*F95,"")</f>
        <v/>
      </c>
      <c r="H95" s="16" t="n"/>
      <c r="I95" s="16" t="n"/>
      <c r="J95" s="16" t="n"/>
      <c r="K95" s="18">
        <f>IF(OR(E95="",F95="",J95=""),"",IF(D95="Short",(E95-J95)*F95,(J95-E95)*F95))</f>
        <v/>
      </c>
      <c r="L95" s="19">
        <f>IFERROR(K95/G95,"")</f>
        <v/>
      </c>
      <c r="M95" s="18">
        <f>IF(OR(E95="",H95="",F95=""),"",IF(D95="Short",(H95-E95)*F95,(E95-H95)*F95))</f>
        <v/>
      </c>
      <c r="N95" s="20">
        <f>IFERROR(K95/M95,"")</f>
        <v/>
      </c>
      <c r="O95" s="21">
        <f>IF(E95="","",IF(J95="","Aberta","Fechada"))</f>
        <v/>
      </c>
      <c r="P95" s="15" t="n"/>
    </row>
    <row r="96">
      <c r="A96" s="14" t="n"/>
      <c r="B96" s="15" t="n"/>
      <c r="C96" s="15" t="n"/>
      <c r="D96" s="15" t="n"/>
      <c r="E96" s="16" t="n"/>
      <c r="F96" s="17" t="n"/>
      <c r="G96" s="18">
        <f>IF(AND(E96&lt;&gt;"",F96&lt;&gt;""),E96*F96,"")</f>
        <v/>
      </c>
      <c r="H96" s="16" t="n"/>
      <c r="I96" s="16" t="n"/>
      <c r="J96" s="16" t="n"/>
      <c r="K96" s="18">
        <f>IF(OR(E96="",F96="",J96=""),"",IF(D96="Short",(E96-J96)*F96,(J96-E96)*F96))</f>
        <v/>
      </c>
      <c r="L96" s="19">
        <f>IFERROR(K96/G96,"")</f>
        <v/>
      </c>
      <c r="M96" s="18">
        <f>IF(OR(E96="",H96="",F96=""),"",IF(D96="Short",(H96-E96)*F96,(E96-H96)*F96))</f>
        <v/>
      </c>
      <c r="N96" s="20">
        <f>IFERROR(K96/M96,"")</f>
        <v/>
      </c>
      <c r="O96" s="21">
        <f>IF(E96="","",IF(J96="","Aberta","Fechada"))</f>
        <v/>
      </c>
      <c r="P96" s="15" t="n"/>
    </row>
    <row r="97">
      <c r="A97" s="14" t="n"/>
      <c r="B97" s="15" t="n"/>
      <c r="C97" s="15" t="n"/>
      <c r="D97" s="15" t="n"/>
      <c r="E97" s="16" t="n"/>
      <c r="F97" s="17" t="n"/>
      <c r="G97" s="18">
        <f>IF(AND(E97&lt;&gt;"",F97&lt;&gt;""),E97*F97,"")</f>
        <v/>
      </c>
      <c r="H97" s="16" t="n"/>
      <c r="I97" s="16" t="n"/>
      <c r="J97" s="16" t="n"/>
      <c r="K97" s="18">
        <f>IF(OR(E97="",F97="",J97=""),"",IF(D97="Short",(E97-J97)*F97,(J97-E97)*F97))</f>
        <v/>
      </c>
      <c r="L97" s="19">
        <f>IFERROR(K97/G97,"")</f>
        <v/>
      </c>
      <c r="M97" s="18">
        <f>IF(OR(E97="",H97="",F97=""),"",IF(D97="Short",(H97-E97)*F97,(E97-H97)*F97))</f>
        <v/>
      </c>
      <c r="N97" s="20">
        <f>IFERROR(K97/M97,"")</f>
        <v/>
      </c>
      <c r="O97" s="21">
        <f>IF(E97="","",IF(J97="","Aberta","Fechada"))</f>
        <v/>
      </c>
      <c r="P97" s="15" t="n"/>
    </row>
    <row r="98">
      <c r="A98" s="14" t="n"/>
      <c r="B98" s="15" t="n"/>
      <c r="C98" s="15" t="n"/>
      <c r="D98" s="15" t="n"/>
      <c r="E98" s="16" t="n"/>
      <c r="F98" s="17" t="n"/>
      <c r="G98" s="18">
        <f>IF(AND(E98&lt;&gt;"",F98&lt;&gt;""),E98*F98,"")</f>
        <v/>
      </c>
      <c r="H98" s="16" t="n"/>
      <c r="I98" s="16" t="n"/>
      <c r="J98" s="16" t="n"/>
      <c r="K98" s="18">
        <f>IF(OR(E98="",F98="",J98=""),"",IF(D98="Short",(E98-J98)*F98,(J98-E98)*F98))</f>
        <v/>
      </c>
      <c r="L98" s="19">
        <f>IFERROR(K98/G98,"")</f>
        <v/>
      </c>
      <c r="M98" s="18">
        <f>IF(OR(E98="",H98="",F98=""),"",IF(D98="Short",(H98-E98)*F98,(E98-H98)*F98))</f>
        <v/>
      </c>
      <c r="N98" s="20">
        <f>IFERROR(K98/M98,"")</f>
        <v/>
      </c>
      <c r="O98" s="21">
        <f>IF(E98="","",IF(J98="","Aberta","Fechada"))</f>
        <v/>
      </c>
      <c r="P98" s="15" t="n"/>
    </row>
    <row r="99">
      <c r="A99" s="14" t="n"/>
      <c r="B99" s="15" t="n"/>
      <c r="C99" s="15" t="n"/>
      <c r="D99" s="15" t="n"/>
      <c r="E99" s="16" t="n"/>
      <c r="F99" s="17" t="n"/>
      <c r="G99" s="18">
        <f>IF(AND(E99&lt;&gt;"",F99&lt;&gt;""),E99*F99,"")</f>
        <v/>
      </c>
      <c r="H99" s="16" t="n"/>
      <c r="I99" s="16" t="n"/>
      <c r="J99" s="16" t="n"/>
      <c r="K99" s="18">
        <f>IF(OR(E99="",F99="",J99=""),"",IF(D99="Short",(E99-J99)*F99,(J99-E99)*F99))</f>
        <v/>
      </c>
      <c r="L99" s="19">
        <f>IFERROR(K99/G99,"")</f>
        <v/>
      </c>
      <c r="M99" s="18">
        <f>IF(OR(E99="",H99="",F99=""),"",IF(D99="Short",(H99-E99)*F99,(E99-H99)*F99))</f>
        <v/>
      </c>
      <c r="N99" s="20">
        <f>IFERROR(K99/M99,"")</f>
        <v/>
      </c>
      <c r="O99" s="21">
        <f>IF(E99="","",IF(J99="","Aberta","Fechada"))</f>
        <v/>
      </c>
      <c r="P99" s="15" t="n"/>
    </row>
    <row r="100">
      <c r="A100" s="14" t="n"/>
      <c r="B100" s="15" t="n"/>
      <c r="C100" s="15" t="n"/>
      <c r="D100" s="15" t="n"/>
      <c r="E100" s="16" t="n"/>
      <c r="F100" s="17" t="n"/>
      <c r="G100" s="18">
        <f>IF(AND(E100&lt;&gt;"",F100&lt;&gt;""),E100*F100,"")</f>
        <v/>
      </c>
      <c r="H100" s="16" t="n"/>
      <c r="I100" s="16" t="n"/>
      <c r="J100" s="16" t="n"/>
      <c r="K100" s="18">
        <f>IF(OR(E100="",F100="",J100=""),"",IF(D100="Short",(E100-J100)*F100,(J100-E100)*F100))</f>
        <v/>
      </c>
      <c r="L100" s="19">
        <f>IFERROR(K100/G100,"")</f>
        <v/>
      </c>
      <c r="M100" s="18">
        <f>IF(OR(E100="",H100="",F100=""),"",IF(D100="Short",(H100-E100)*F100,(E100-H100)*F100))</f>
        <v/>
      </c>
      <c r="N100" s="20">
        <f>IFERROR(K100/M100,"")</f>
        <v/>
      </c>
      <c r="O100" s="21">
        <f>IF(E100="","",IF(J100="","Aberta","Fechada"))</f>
        <v/>
      </c>
      <c r="P100" s="15" t="n"/>
    </row>
    <row r="101">
      <c r="A101" s="14" t="n"/>
      <c r="B101" s="15" t="n"/>
      <c r="C101" s="15" t="n"/>
      <c r="D101" s="15" t="n"/>
      <c r="E101" s="16" t="n"/>
      <c r="F101" s="17" t="n"/>
      <c r="G101" s="18">
        <f>IF(AND(E101&lt;&gt;"",F101&lt;&gt;""),E101*F101,"")</f>
        <v/>
      </c>
      <c r="H101" s="16" t="n"/>
      <c r="I101" s="16" t="n"/>
      <c r="J101" s="16" t="n"/>
      <c r="K101" s="18">
        <f>IF(OR(E101="",F101="",J101=""),"",IF(D101="Short",(E101-J101)*F101,(J101-E101)*F101))</f>
        <v/>
      </c>
      <c r="L101" s="19">
        <f>IFERROR(K101/G101,"")</f>
        <v/>
      </c>
      <c r="M101" s="18">
        <f>IF(OR(E101="",H101="",F101=""),"",IF(D101="Short",(H101-E101)*F101,(E101-H101)*F101))</f>
        <v/>
      </c>
      <c r="N101" s="20">
        <f>IFERROR(K101/M101,"")</f>
        <v/>
      </c>
      <c r="O101" s="21">
        <f>IF(E101="","",IF(J101="","Aberta","Fechada"))</f>
        <v/>
      </c>
      <c r="P101" s="15" t="n"/>
    </row>
    <row r="102">
      <c r="A102" s="14" t="n"/>
      <c r="B102" s="15" t="n"/>
      <c r="C102" s="15" t="n"/>
      <c r="D102" s="15" t="n"/>
      <c r="E102" s="16" t="n"/>
      <c r="F102" s="17" t="n"/>
      <c r="G102" s="18">
        <f>IF(AND(E102&lt;&gt;"",F102&lt;&gt;""),E102*F102,"")</f>
        <v/>
      </c>
      <c r="H102" s="16" t="n"/>
      <c r="I102" s="16" t="n"/>
      <c r="J102" s="16" t="n"/>
      <c r="K102" s="18">
        <f>IF(OR(E102="",F102="",J102=""),"",IF(D102="Short",(E102-J102)*F102,(J102-E102)*F102))</f>
        <v/>
      </c>
      <c r="L102" s="19">
        <f>IFERROR(K102/G102,"")</f>
        <v/>
      </c>
      <c r="M102" s="18">
        <f>IF(OR(E102="",H102="",F102=""),"",IF(D102="Short",(H102-E102)*F102,(E102-H102)*F102))</f>
        <v/>
      </c>
      <c r="N102" s="20">
        <f>IFERROR(K102/M102,"")</f>
        <v/>
      </c>
      <c r="O102" s="21">
        <f>IF(E102="","",IF(J102="","Aberta","Fechada"))</f>
        <v/>
      </c>
      <c r="P102" s="15" t="n"/>
    </row>
    <row r="103">
      <c r="A103" s="14" t="n"/>
      <c r="B103" s="15" t="n"/>
      <c r="C103" s="15" t="n"/>
      <c r="D103" s="15" t="n"/>
      <c r="E103" s="16" t="n"/>
      <c r="F103" s="17" t="n"/>
      <c r="G103" s="18">
        <f>IF(AND(E103&lt;&gt;"",F103&lt;&gt;""),E103*F103,"")</f>
        <v/>
      </c>
      <c r="H103" s="16" t="n"/>
      <c r="I103" s="16" t="n"/>
      <c r="J103" s="16" t="n"/>
      <c r="K103" s="18">
        <f>IF(OR(E103="",F103="",J103=""),"",IF(D103="Short",(E103-J103)*F103,(J103-E103)*F103))</f>
        <v/>
      </c>
      <c r="L103" s="19">
        <f>IFERROR(K103/G103,"")</f>
        <v/>
      </c>
      <c r="M103" s="18">
        <f>IF(OR(E103="",H103="",F103=""),"",IF(D103="Short",(H103-E103)*F103,(E103-H103)*F103))</f>
        <v/>
      </c>
      <c r="N103" s="20">
        <f>IFERROR(K103/M103,"")</f>
        <v/>
      </c>
      <c r="O103" s="21">
        <f>IF(E103="","",IF(J103="","Aberta","Fechada"))</f>
        <v/>
      </c>
      <c r="P103" s="15" t="n"/>
    </row>
    <row r="104">
      <c r="A104" s="14" t="n"/>
      <c r="B104" s="15" t="n"/>
      <c r="C104" s="15" t="n"/>
      <c r="D104" s="15" t="n"/>
      <c r="E104" s="16" t="n"/>
      <c r="F104" s="17" t="n"/>
      <c r="G104" s="18">
        <f>IF(AND(E104&lt;&gt;"",F104&lt;&gt;""),E104*F104,"")</f>
        <v/>
      </c>
      <c r="H104" s="16" t="n"/>
      <c r="I104" s="16" t="n"/>
      <c r="J104" s="16" t="n"/>
      <c r="K104" s="18">
        <f>IF(OR(E104="",F104="",J104=""),"",IF(D104="Short",(E104-J104)*F104,(J104-E104)*F104))</f>
        <v/>
      </c>
      <c r="L104" s="19">
        <f>IFERROR(K104/G104,"")</f>
        <v/>
      </c>
      <c r="M104" s="18">
        <f>IF(OR(E104="",H104="",F104=""),"",IF(D104="Short",(H104-E104)*F104,(E104-H104)*F104))</f>
        <v/>
      </c>
      <c r="N104" s="20">
        <f>IFERROR(K104/M104,"")</f>
        <v/>
      </c>
      <c r="O104" s="21">
        <f>IF(E104="","",IF(J104="","Aberta","Fechada"))</f>
        <v/>
      </c>
      <c r="P104" s="15" t="n"/>
    </row>
  </sheetData>
  <mergeCells count="2">
    <mergeCell ref="A1:P1"/>
    <mergeCell ref="A2:P2"/>
  </mergeCells>
  <conditionalFormatting sqref="K5:K104">
    <cfRule type="cellIs" priority="1" operator="greaterThan" dxfId="0" stopIfTrue="0">
      <formula>0</formula>
    </cfRule>
    <cfRule type="cellIs" priority="2" operator="lessThan" dxfId="1" stopIfTrue="0">
      <formula>0</formula>
    </cfRule>
  </conditionalFormatting>
  <conditionalFormatting sqref="L5:L104">
    <cfRule type="cellIs" priority="3" operator="greaterThan" dxfId="2" stopIfTrue="0">
      <formula>0</formula>
    </cfRule>
    <cfRule type="cellIs" priority="4" operator="lessThan" dxfId="3" stopIfTrue="0">
      <formula>0</formula>
    </cfRule>
  </conditionalFormatting>
  <conditionalFormatting sqref="N5:N104">
    <cfRule type="cellIs" priority="5" operator="greaterThan" dxfId="2" stopIfTrue="0">
      <formula>0</formula>
    </cfRule>
    <cfRule type="cellIs" priority="6" operator="lessThan" dxfId="3" stopIfTrue="0">
      <formula>0</formula>
    </cfRule>
  </conditionalFormatting>
  <dataValidations count="3">
    <dataValidation sqref="C5:C104" showDropDown="0" showInputMessage="0" showErrorMessage="0" allowBlank="1" type="list">
      <formula1>"Spot,Futuros,Swap"</formula1>
    </dataValidation>
    <dataValidation sqref="D5:D104" showDropDown="0" showInputMessage="0" showErrorMessage="0" allowBlank="1" type="list">
      <formula1>"Long,Short"</formula1>
    </dataValidation>
    <dataValidation sqref="B5:B104" showDropDown="0" showInputMessage="0" showErrorMessage="0" allowBlank="1" type="list">
      <formula1>=Configurações!$A$3:$A$50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7"/>
  <sheetViews>
    <sheetView showGridLines="0"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0" customWidth="1" min="3" max="3"/>
    <col width="10" customWidth="1" min="4" max="4"/>
    <col width="12" customWidth="1" min="5" max="5"/>
    <col width="18" customWidth="1" min="6" max="6"/>
    <col width="18" customWidth="1" min="7" max="7"/>
    <col width="18" customWidth="1" min="8" max="8"/>
  </cols>
  <sheetData>
    <row r="1" ht="26" customHeight="1">
      <c r="A1" s="11" t="inlineStr">
        <is>
          <t>Resumo Mensal de Operações</t>
        </is>
      </c>
    </row>
    <row r="2">
      <c r="A2" s="12" t="inlineStr">
        <is>
          <t>Agregação automática a partir da aba Operações.</t>
        </is>
      </c>
    </row>
    <row r="4" ht="36" customHeight="1">
      <c r="A4" s="13" t="inlineStr">
        <is>
          <t>Mês</t>
        </is>
      </c>
      <c r="B4" s="13" t="inlineStr">
        <is>
          <t># Operações</t>
        </is>
      </c>
      <c r="C4" s="13" t="inlineStr">
        <is>
          <t>Wins</t>
        </is>
      </c>
      <c r="D4" s="13" t="inlineStr">
        <is>
          <t>Losses</t>
        </is>
      </c>
      <c r="E4" s="13" t="inlineStr">
        <is>
          <t>Win Rate</t>
        </is>
      </c>
      <c r="F4" s="13" t="inlineStr">
        <is>
          <t>Resultado (R$)</t>
        </is>
      </c>
      <c r="G4" s="13" t="inlineStr">
        <is>
          <t>Maior Ganho (R$)</t>
        </is>
      </c>
      <c r="H4" s="13" t="inlineStr">
        <is>
          <t>Maior Perda (R$)</t>
        </is>
      </c>
    </row>
    <row r="5">
      <c r="A5" s="21" t="inlineStr">
        <is>
          <t>Jan/2026</t>
        </is>
      </c>
      <c r="B5" s="21">
        <f>SUMPRODUCT((MONTH(Operações!$A$5:$A$104)=1)*(YEAR(Operações!$A$5:$A$104)=2026)*(Operações!$O$5:$O$104="Fechada"))</f>
        <v/>
      </c>
      <c r="C5" s="21">
        <f>SUMPRODUCT((MONTH(Operações!$A$5:$A$104)=1)*(YEAR(Operações!$A$5:$A$104)=2026)*(Operações!$O$5:$O$104="Fechada")*(Operações!$K$5:$K$104&gt;0))</f>
        <v/>
      </c>
      <c r="D5" s="21">
        <f>SUMPRODUCT((MONTH(Operações!$A$5:$A$104)=1)*(YEAR(Operações!$A$5:$A$104)=2026)*(Operações!$O$5:$O$104="Fechada")*(Operações!$K$5:$K$104&lt;0))</f>
        <v/>
      </c>
      <c r="E5" s="19">
        <f>IFERROR(C5/B5,0)</f>
        <v/>
      </c>
      <c r="F5" s="18">
        <f>SUMPRODUCT((MONTH(Operações!$A$5:$A$104)=1)*(YEAR(Operações!$A$5:$A$104)=2026)*(Operações!$K$5:$K$104))</f>
        <v/>
      </c>
      <c r="G5" s="18">
        <f>IFERROR(MAXIFS(Operações!$K$5:$K$104,Operações!$A$5:$A$104,"&gt;="&amp;DATE(2026,1,1),Operações!$A$5:$A$104,"&lt;"&amp;DATE(2026,1+1,1)),0)</f>
        <v/>
      </c>
      <c r="H5" s="18">
        <f>IFERROR(MINIFS(Operações!$K$5:$K$104,Operações!$A$5:$A$104,"&gt;="&amp;DATE(2026,1,1),Operações!$A$5:$A$104,"&lt;"&amp;DATE(2026,1+1,1)),0)</f>
        <v/>
      </c>
    </row>
    <row r="6">
      <c r="A6" s="21" t="inlineStr">
        <is>
          <t>Fev/2026</t>
        </is>
      </c>
      <c r="B6" s="21">
        <f>SUMPRODUCT((MONTH(Operações!$A$5:$A$104)=2)*(YEAR(Operações!$A$5:$A$104)=2026)*(Operações!$O$5:$O$104="Fechada"))</f>
        <v/>
      </c>
      <c r="C6" s="21">
        <f>SUMPRODUCT((MONTH(Operações!$A$5:$A$104)=2)*(YEAR(Operações!$A$5:$A$104)=2026)*(Operações!$O$5:$O$104="Fechada")*(Operações!$K$5:$K$104&gt;0))</f>
        <v/>
      </c>
      <c r="D6" s="21">
        <f>SUMPRODUCT((MONTH(Operações!$A$5:$A$104)=2)*(YEAR(Operações!$A$5:$A$104)=2026)*(Operações!$O$5:$O$104="Fechada")*(Operações!$K$5:$K$104&lt;0))</f>
        <v/>
      </c>
      <c r="E6" s="19">
        <f>IFERROR(C6/B6,0)</f>
        <v/>
      </c>
      <c r="F6" s="18">
        <f>SUMPRODUCT((MONTH(Operações!$A$5:$A$104)=2)*(YEAR(Operações!$A$5:$A$104)=2026)*(Operações!$K$5:$K$104))</f>
        <v/>
      </c>
      <c r="G6" s="18">
        <f>IFERROR(MAXIFS(Operações!$K$5:$K$104,Operações!$A$5:$A$104,"&gt;="&amp;DATE(2026,2,1),Operações!$A$5:$A$104,"&lt;"&amp;DATE(2026,2+1,1)),0)</f>
        <v/>
      </c>
      <c r="H6" s="18">
        <f>IFERROR(MINIFS(Operações!$K$5:$K$104,Operações!$A$5:$A$104,"&gt;="&amp;DATE(2026,2,1),Operações!$A$5:$A$104,"&lt;"&amp;DATE(2026,2+1,1)),0)</f>
        <v/>
      </c>
    </row>
    <row r="7">
      <c r="A7" s="21" t="inlineStr">
        <is>
          <t>Mar/2026</t>
        </is>
      </c>
      <c r="B7" s="21">
        <f>SUMPRODUCT((MONTH(Operações!$A$5:$A$104)=3)*(YEAR(Operações!$A$5:$A$104)=2026)*(Operações!$O$5:$O$104="Fechada"))</f>
        <v/>
      </c>
      <c r="C7" s="21">
        <f>SUMPRODUCT((MONTH(Operações!$A$5:$A$104)=3)*(YEAR(Operações!$A$5:$A$104)=2026)*(Operações!$O$5:$O$104="Fechada")*(Operações!$K$5:$K$104&gt;0))</f>
        <v/>
      </c>
      <c r="D7" s="21">
        <f>SUMPRODUCT((MONTH(Operações!$A$5:$A$104)=3)*(YEAR(Operações!$A$5:$A$104)=2026)*(Operações!$O$5:$O$104="Fechada")*(Operações!$K$5:$K$104&lt;0))</f>
        <v/>
      </c>
      <c r="E7" s="19">
        <f>IFERROR(C7/B7,0)</f>
        <v/>
      </c>
      <c r="F7" s="18">
        <f>SUMPRODUCT((MONTH(Operações!$A$5:$A$104)=3)*(YEAR(Operações!$A$5:$A$104)=2026)*(Operações!$K$5:$K$104))</f>
        <v/>
      </c>
      <c r="G7" s="18">
        <f>IFERROR(MAXIFS(Operações!$K$5:$K$104,Operações!$A$5:$A$104,"&gt;="&amp;DATE(2026,3,1),Operações!$A$5:$A$104,"&lt;"&amp;DATE(2026,3+1,1)),0)</f>
        <v/>
      </c>
      <c r="H7" s="18">
        <f>IFERROR(MINIFS(Operações!$K$5:$K$104,Operações!$A$5:$A$104,"&gt;="&amp;DATE(2026,3,1),Operações!$A$5:$A$104,"&lt;"&amp;DATE(2026,3+1,1)),0)</f>
        <v/>
      </c>
    </row>
    <row r="8">
      <c r="A8" s="21" t="inlineStr">
        <is>
          <t>Abr/2026</t>
        </is>
      </c>
      <c r="B8" s="21">
        <f>SUMPRODUCT((MONTH(Operações!$A$5:$A$104)=4)*(YEAR(Operações!$A$5:$A$104)=2026)*(Operações!$O$5:$O$104="Fechada"))</f>
        <v/>
      </c>
      <c r="C8" s="21">
        <f>SUMPRODUCT((MONTH(Operações!$A$5:$A$104)=4)*(YEAR(Operações!$A$5:$A$104)=2026)*(Operações!$O$5:$O$104="Fechada")*(Operações!$K$5:$K$104&gt;0))</f>
        <v/>
      </c>
      <c r="D8" s="21">
        <f>SUMPRODUCT((MONTH(Operações!$A$5:$A$104)=4)*(YEAR(Operações!$A$5:$A$104)=2026)*(Operações!$O$5:$O$104="Fechada")*(Operações!$K$5:$K$104&lt;0))</f>
        <v/>
      </c>
      <c r="E8" s="19">
        <f>IFERROR(C8/B8,0)</f>
        <v/>
      </c>
      <c r="F8" s="18">
        <f>SUMPRODUCT((MONTH(Operações!$A$5:$A$104)=4)*(YEAR(Operações!$A$5:$A$104)=2026)*(Operações!$K$5:$K$104))</f>
        <v/>
      </c>
      <c r="G8" s="18">
        <f>IFERROR(MAXIFS(Operações!$K$5:$K$104,Operações!$A$5:$A$104,"&gt;="&amp;DATE(2026,4,1),Operações!$A$5:$A$104,"&lt;"&amp;DATE(2026,4+1,1)),0)</f>
        <v/>
      </c>
      <c r="H8" s="18">
        <f>IFERROR(MINIFS(Operações!$K$5:$K$104,Operações!$A$5:$A$104,"&gt;="&amp;DATE(2026,4,1),Operações!$A$5:$A$104,"&lt;"&amp;DATE(2026,4+1,1)),0)</f>
        <v/>
      </c>
    </row>
    <row r="9">
      <c r="A9" s="21" t="inlineStr">
        <is>
          <t>Mai/2026</t>
        </is>
      </c>
      <c r="B9" s="21">
        <f>SUMPRODUCT((MONTH(Operações!$A$5:$A$104)=5)*(YEAR(Operações!$A$5:$A$104)=2026)*(Operações!$O$5:$O$104="Fechada"))</f>
        <v/>
      </c>
      <c r="C9" s="21">
        <f>SUMPRODUCT((MONTH(Operações!$A$5:$A$104)=5)*(YEAR(Operações!$A$5:$A$104)=2026)*(Operações!$O$5:$O$104="Fechada")*(Operações!$K$5:$K$104&gt;0))</f>
        <v/>
      </c>
      <c r="D9" s="21">
        <f>SUMPRODUCT((MONTH(Operações!$A$5:$A$104)=5)*(YEAR(Operações!$A$5:$A$104)=2026)*(Operações!$O$5:$O$104="Fechada")*(Operações!$K$5:$K$104&lt;0))</f>
        <v/>
      </c>
      <c r="E9" s="19">
        <f>IFERROR(C9/B9,0)</f>
        <v/>
      </c>
      <c r="F9" s="18">
        <f>SUMPRODUCT((MONTH(Operações!$A$5:$A$104)=5)*(YEAR(Operações!$A$5:$A$104)=2026)*(Operações!$K$5:$K$104))</f>
        <v/>
      </c>
      <c r="G9" s="18">
        <f>IFERROR(MAXIFS(Operações!$K$5:$K$104,Operações!$A$5:$A$104,"&gt;="&amp;DATE(2026,5,1),Operações!$A$5:$A$104,"&lt;"&amp;DATE(2026,5+1,1)),0)</f>
        <v/>
      </c>
      <c r="H9" s="18">
        <f>IFERROR(MINIFS(Operações!$K$5:$K$104,Operações!$A$5:$A$104,"&gt;="&amp;DATE(2026,5,1),Operações!$A$5:$A$104,"&lt;"&amp;DATE(2026,5+1,1)),0)</f>
        <v/>
      </c>
    </row>
    <row r="10">
      <c r="A10" s="21" t="inlineStr">
        <is>
          <t>Jun/2026</t>
        </is>
      </c>
      <c r="B10" s="21">
        <f>SUMPRODUCT((MONTH(Operações!$A$5:$A$104)=6)*(YEAR(Operações!$A$5:$A$104)=2026)*(Operações!$O$5:$O$104="Fechada"))</f>
        <v/>
      </c>
      <c r="C10" s="21">
        <f>SUMPRODUCT((MONTH(Operações!$A$5:$A$104)=6)*(YEAR(Operações!$A$5:$A$104)=2026)*(Operações!$O$5:$O$104="Fechada")*(Operações!$K$5:$K$104&gt;0))</f>
        <v/>
      </c>
      <c r="D10" s="21">
        <f>SUMPRODUCT((MONTH(Operações!$A$5:$A$104)=6)*(YEAR(Operações!$A$5:$A$104)=2026)*(Operações!$O$5:$O$104="Fechada")*(Operações!$K$5:$K$104&lt;0))</f>
        <v/>
      </c>
      <c r="E10" s="19">
        <f>IFERROR(C10/B10,0)</f>
        <v/>
      </c>
      <c r="F10" s="18">
        <f>SUMPRODUCT((MONTH(Operações!$A$5:$A$104)=6)*(YEAR(Operações!$A$5:$A$104)=2026)*(Operações!$K$5:$K$104))</f>
        <v/>
      </c>
      <c r="G10" s="18">
        <f>IFERROR(MAXIFS(Operações!$K$5:$K$104,Operações!$A$5:$A$104,"&gt;="&amp;DATE(2026,6,1),Operações!$A$5:$A$104,"&lt;"&amp;DATE(2026,6+1,1)),0)</f>
        <v/>
      </c>
      <c r="H10" s="18">
        <f>IFERROR(MINIFS(Operações!$K$5:$K$104,Operações!$A$5:$A$104,"&gt;="&amp;DATE(2026,6,1),Operações!$A$5:$A$104,"&lt;"&amp;DATE(2026,6+1,1)),0)</f>
        <v/>
      </c>
    </row>
    <row r="11">
      <c r="A11" s="21" t="inlineStr">
        <is>
          <t>Jul/2026</t>
        </is>
      </c>
      <c r="B11" s="21">
        <f>SUMPRODUCT((MONTH(Operações!$A$5:$A$104)=7)*(YEAR(Operações!$A$5:$A$104)=2026)*(Operações!$O$5:$O$104="Fechada"))</f>
        <v/>
      </c>
      <c r="C11" s="21">
        <f>SUMPRODUCT((MONTH(Operações!$A$5:$A$104)=7)*(YEAR(Operações!$A$5:$A$104)=2026)*(Operações!$O$5:$O$104="Fechada")*(Operações!$K$5:$K$104&gt;0))</f>
        <v/>
      </c>
      <c r="D11" s="21">
        <f>SUMPRODUCT((MONTH(Operações!$A$5:$A$104)=7)*(YEAR(Operações!$A$5:$A$104)=2026)*(Operações!$O$5:$O$104="Fechada")*(Operações!$K$5:$K$104&lt;0))</f>
        <v/>
      </c>
      <c r="E11" s="19">
        <f>IFERROR(C11/B11,0)</f>
        <v/>
      </c>
      <c r="F11" s="18">
        <f>SUMPRODUCT((MONTH(Operações!$A$5:$A$104)=7)*(YEAR(Operações!$A$5:$A$104)=2026)*(Operações!$K$5:$K$104))</f>
        <v/>
      </c>
      <c r="G11" s="18">
        <f>IFERROR(MAXIFS(Operações!$K$5:$K$104,Operações!$A$5:$A$104,"&gt;="&amp;DATE(2026,7,1),Operações!$A$5:$A$104,"&lt;"&amp;DATE(2026,7+1,1)),0)</f>
        <v/>
      </c>
      <c r="H11" s="18">
        <f>IFERROR(MINIFS(Operações!$K$5:$K$104,Operações!$A$5:$A$104,"&gt;="&amp;DATE(2026,7,1),Operações!$A$5:$A$104,"&lt;"&amp;DATE(2026,7+1,1)),0)</f>
        <v/>
      </c>
    </row>
    <row r="12">
      <c r="A12" s="21" t="inlineStr">
        <is>
          <t>Ago/2026</t>
        </is>
      </c>
      <c r="B12" s="21">
        <f>SUMPRODUCT((MONTH(Operações!$A$5:$A$104)=8)*(YEAR(Operações!$A$5:$A$104)=2026)*(Operações!$O$5:$O$104="Fechada"))</f>
        <v/>
      </c>
      <c r="C12" s="21">
        <f>SUMPRODUCT((MONTH(Operações!$A$5:$A$104)=8)*(YEAR(Operações!$A$5:$A$104)=2026)*(Operações!$O$5:$O$104="Fechada")*(Operações!$K$5:$K$104&gt;0))</f>
        <v/>
      </c>
      <c r="D12" s="21">
        <f>SUMPRODUCT((MONTH(Operações!$A$5:$A$104)=8)*(YEAR(Operações!$A$5:$A$104)=2026)*(Operações!$O$5:$O$104="Fechada")*(Operações!$K$5:$K$104&lt;0))</f>
        <v/>
      </c>
      <c r="E12" s="19">
        <f>IFERROR(C12/B12,0)</f>
        <v/>
      </c>
      <c r="F12" s="18">
        <f>SUMPRODUCT((MONTH(Operações!$A$5:$A$104)=8)*(YEAR(Operações!$A$5:$A$104)=2026)*(Operações!$K$5:$K$104))</f>
        <v/>
      </c>
      <c r="G12" s="18">
        <f>IFERROR(MAXIFS(Operações!$K$5:$K$104,Operações!$A$5:$A$104,"&gt;="&amp;DATE(2026,8,1),Operações!$A$5:$A$104,"&lt;"&amp;DATE(2026,8+1,1)),0)</f>
        <v/>
      </c>
      <c r="H12" s="18">
        <f>IFERROR(MINIFS(Operações!$K$5:$K$104,Operações!$A$5:$A$104,"&gt;="&amp;DATE(2026,8,1),Operações!$A$5:$A$104,"&lt;"&amp;DATE(2026,8+1,1)),0)</f>
        <v/>
      </c>
    </row>
    <row r="13">
      <c r="A13" s="21" t="inlineStr">
        <is>
          <t>Set/2026</t>
        </is>
      </c>
      <c r="B13" s="21">
        <f>SUMPRODUCT((MONTH(Operações!$A$5:$A$104)=9)*(YEAR(Operações!$A$5:$A$104)=2026)*(Operações!$O$5:$O$104="Fechada"))</f>
        <v/>
      </c>
      <c r="C13" s="21">
        <f>SUMPRODUCT((MONTH(Operações!$A$5:$A$104)=9)*(YEAR(Operações!$A$5:$A$104)=2026)*(Operações!$O$5:$O$104="Fechada")*(Operações!$K$5:$K$104&gt;0))</f>
        <v/>
      </c>
      <c r="D13" s="21">
        <f>SUMPRODUCT((MONTH(Operações!$A$5:$A$104)=9)*(YEAR(Operações!$A$5:$A$104)=2026)*(Operações!$O$5:$O$104="Fechada")*(Operações!$K$5:$K$104&lt;0))</f>
        <v/>
      </c>
      <c r="E13" s="19">
        <f>IFERROR(C13/B13,0)</f>
        <v/>
      </c>
      <c r="F13" s="18">
        <f>SUMPRODUCT((MONTH(Operações!$A$5:$A$104)=9)*(YEAR(Operações!$A$5:$A$104)=2026)*(Operações!$K$5:$K$104))</f>
        <v/>
      </c>
      <c r="G13" s="18">
        <f>IFERROR(MAXIFS(Operações!$K$5:$K$104,Operações!$A$5:$A$104,"&gt;="&amp;DATE(2026,9,1),Operações!$A$5:$A$104,"&lt;"&amp;DATE(2026,9+1,1)),0)</f>
        <v/>
      </c>
      <c r="H13" s="18">
        <f>IFERROR(MINIFS(Operações!$K$5:$K$104,Operações!$A$5:$A$104,"&gt;="&amp;DATE(2026,9,1),Operações!$A$5:$A$104,"&lt;"&amp;DATE(2026,9+1,1)),0)</f>
        <v/>
      </c>
    </row>
    <row r="14">
      <c r="A14" s="21" t="inlineStr">
        <is>
          <t>Out/2026</t>
        </is>
      </c>
      <c r="B14" s="21">
        <f>SUMPRODUCT((MONTH(Operações!$A$5:$A$104)=10)*(YEAR(Operações!$A$5:$A$104)=2026)*(Operações!$O$5:$O$104="Fechada"))</f>
        <v/>
      </c>
      <c r="C14" s="21">
        <f>SUMPRODUCT((MONTH(Operações!$A$5:$A$104)=10)*(YEAR(Operações!$A$5:$A$104)=2026)*(Operações!$O$5:$O$104="Fechada")*(Operações!$K$5:$K$104&gt;0))</f>
        <v/>
      </c>
      <c r="D14" s="21">
        <f>SUMPRODUCT((MONTH(Operações!$A$5:$A$104)=10)*(YEAR(Operações!$A$5:$A$104)=2026)*(Operações!$O$5:$O$104="Fechada")*(Operações!$K$5:$K$104&lt;0))</f>
        <v/>
      </c>
      <c r="E14" s="19">
        <f>IFERROR(C14/B14,0)</f>
        <v/>
      </c>
      <c r="F14" s="18">
        <f>SUMPRODUCT((MONTH(Operações!$A$5:$A$104)=10)*(YEAR(Operações!$A$5:$A$104)=2026)*(Operações!$K$5:$K$104))</f>
        <v/>
      </c>
      <c r="G14" s="18">
        <f>IFERROR(MAXIFS(Operações!$K$5:$K$104,Operações!$A$5:$A$104,"&gt;="&amp;DATE(2026,10,1),Operações!$A$5:$A$104,"&lt;"&amp;DATE(2026,10+1,1)),0)</f>
        <v/>
      </c>
      <c r="H14" s="18">
        <f>IFERROR(MINIFS(Operações!$K$5:$K$104,Operações!$A$5:$A$104,"&gt;="&amp;DATE(2026,10,1),Operações!$A$5:$A$104,"&lt;"&amp;DATE(2026,10+1,1)),0)</f>
        <v/>
      </c>
    </row>
    <row r="15">
      <c r="A15" s="21" t="inlineStr">
        <is>
          <t>Nov/2026</t>
        </is>
      </c>
      <c r="B15" s="21">
        <f>SUMPRODUCT((MONTH(Operações!$A$5:$A$104)=11)*(YEAR(Operações!$A$5:$A$104)=2026)*(Operações!$O$5:$O$104="Fechada"))</f>
        <v/>
      </c>
      <c r="C15" s="21">
        <f>SUMPRODUCT((MONTH(Operações!$A$5:$A$104)=11)*(YEAR(Operações!$A$5:$A$104)=2026)*(Operações!$O$5:$O$104="Fechada")*(Operações!$K$5:$K$104&gt;0))</f>
        <v/>
      </c>
      <c r="D15" s="21">
        <f>SUMPRODUCT((MONTH(Operações!$A$5:$A$104)=11)*(YEAR(Operações!$A$5:$A$104)=2026)*(Operações!$O$5:$O$104="Fechada")*(Operações!$K$5:$K$104&lt;0))</f>
        <v/>
      </c>
      <c r="E15" s="19">
        <f>IFERROR(C15/B15,0)</f>
        <v/>
      </c>
      <c r="F15" s="18">
        <f>SUMPRODUCT((MONTH(Operações!$A$5:$A$104)=11)*(YEAR(Operações!$A$5:$A$104)=2026)*(Operações!$K$5:$K$104))</f>
        <v/>
      </c>
      <c r="G15" s="18">
        <f>IFERROR(MAXIFS(Operações!$K$5:$K$104,Operações!$A$5:$A$104,"&gt;="&amp;DATE(2026,11,1),Operações!$A$5:$A$104,"&lt;"&amp;DATE(2026,11+1,1)),0)</f>
        <v/>
      </c>
      <c r="H15" s="18">
        <f>IFERROR(MINIFS(Operações!$K$5:$K$104,Operações!$A$5:$A$104,"&gt;="&amp;DATE(2026,11,1),Operações!$A$5:$A$104,"&lt;"&amp;DATE(2026,11+1,1)),0)</f>
        <v/>
      </c>
    </row>
    <row r="16">
      <c r="A16" s="21" t="inlineStr">
        <is>
          <t>Dez/2026</t>
        </is>
      </c>
      <c r="B16" s="21">
        <f>SUMPRODUCT((MONTH(Operações!$A$5:$A$104)=12)*(YEAR(Operações!$A$5:$A$104)=2026)*(Operações!$O$5:$O$104="Fechada"))</f>
        <v/>
      </c>
      <c r="C16" s="21">
        <f>SUMPRODUCT((MONTH(Operações!$A$5:$A$104)=12)*(YEAR(Operações!$A$5:$A$104)=2026)*(Operações!$O$5:$O$104="Fechada")*(Operações!$K$5:$K$104&gt;0))</f>
        <v/>
      </c>
      <c r="D16" s="21">
        <f>SUMPRODUCT((MONTH(Operações!$A$5:$A$104)=12)*(YEAR(Operações!$A$5:$A$104)=2026)*(Operações!$O$5:$O$104="Fechada")*(Operações!$K$5:$K$104&lt;0))</f>
        <v/>
      </c>
      <c r="E16" s="19">
        <f>IFERROR(C16/B16,0)</f>
        <v/>
      </c>
      <c r="F16" s="18">
        <f>SUMPRODUCT((MONTH(Operações!$A$5:$A$104)=12)*(YEAR(Operações!$A$5:$A$104)=2026)*(Operações!$K$5:$K$104))</f>
        <v/>
      </c>
      <c r="G16" s="18">
        <f>IFERROR(MAXIFS(Operações!$K$5:$K$104,Operações!$A$5:$A$104,"&gt;="&amp;DATE(2026,12,1),Operações!$A$5:$A$104,"&lt;"&amp;DATE(2026,12+1,1)),0)</f>
        <v/>
      </c>
      <c r="H16" s="18">
        <f>IFERROR(MINIFS(Operações!$K$5:$K$104,Operações!$A$5:$A$104,"&gt;="&amp;DATE(2026,12,1),Operações!$A$5:$A$104,"&lt;"&amp;DATE(2026,12+1,1)),0)</f>
        <v/>
      </c>
    </row>
    <row r="17">
      <c r="A17" s="22" t="inlineStr">
        <is>
          <t>TOTAL ANO</t>
        </is>
      </c>
      <c r="B17" s="22">
        <f>SUM(B5:B16)</f>
        <v/>
      </c>
      <c r="C17" s="22">
        <f>SUM(C5:C16)</f>
        <v/>
      </c>
      <c r="D17" s="22">
        <f>SUM(D5:D16)</f>
        <v/>
      </c>
      <c r="E17" s="23">
        <f>IFERROR(C17/B17,0)</f>
        <v/>
      </c>
      <c r="F17" s="24">
        <f>SUM(F5:F16)</f>
        <v/>
      </c>
      <c r="G17" s="24">
        <f>MAX(G5:G16)</f>
        <v/>
      </c>
      <c r="H17" s="24">
        <f>MIN(H5:H16)</f>
        <v/>
      </c>
    </row>
  </sheetData>
  <mergeCells count="2">
    <mergeCell ref="A2:H2"/>
    <mergeCell ref="A1:H1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19"/>
  <sheetViews>
    <sheetView showGridLines="0" workbookViewId="0">
      <selection activeCell="A1" sqref="A1"/>
    </sheetView>
  </sheetViews>
  <sheetFormatPr baseColWidth="8" defaultRowHeight="15"/>
  <cols>
    <col width="32" customWidth="1" min="1" max="1"/>
    <col width="18" customWidth="1" min="2" max="2"/>
    <col width="60" customWidth="1" min="3" max="3"/>
  </cols>
  <sheetData>
    <row r="1" ht="26" customHeight="1">
      <c r="A1" s="11" t="inlineStr">
        <is>
          <t>Métricas de Performance</t>
        </is>
      </c>
    </row>
    <row r="2">
      <c r="A2" s="12" t="inlineStr">
        <is>
          <t>Indicadores estatísticos calculados a partir da aba Operações.</t>
        </is>
      </c>
    </row>
    <row r="4" ht="30" customHeight="1">
      <c r="A4" s="13" t="inlineStr">
        <is>
          <t>Métrica</t>
        </is>
      </c>
      <c r="B4" s="13" t="inlineStr">
        <is>
          <t>Valor</t>
        </is>
      </c>
      <c r="C4" s="13" t="inlineStr">
        <is>
          <t>Interpretação</t>
        </is>
      </c>
    </row>
    <row r="5" ht="24" customHeight="1">
      <c r="A5" s="25" t="inlineStr">
        <is>
          <t>Total de operações fechadas</t>
        </is>
      </c>
      <c r="B5" s="26">
        <f>COUNTIF(Operações!$O$5:$O$104,"Fechada")</f>
        <v/>
      </c>
      <c r="C5" s="27" t="inlineStr">
        <is>
          <t>Quantidade total de trades já encerrados.</t>
        </is>
      </c>
    </row>
    <row r="6" ht="24" customHeight="1">
      <c r="A6" s="25" t="inlineStr">
        <is>
          <t>Operações vencedoras (Wins)</t>
        </is>
      </c>
      <c r="B6" s="26">
        <f>COUNTIFS(Operações!$O$5:$O$104,"Fechada",Operações!$K$5:$K$104,"&gt;0")</f>
        <v/>
      </c>
      <c r="C6" s="27" t="inlineStr">
        <is>
          <t>Trades fechados com lucro.</t>
        </is>
      </c>
    </row>
    <row r="7" ht="24" customHeight="1">
      <c r="A7" s="25" t="inlineStr">
        <is>
          <t>Operações perdedoras (Losses)</t>
        </is>
      </c>
      <c r="B7" s="26">
        <f>COUNTIFS(Operações!$O$5:$O$104,"Fechada",Operações!$K$5:$K$104,"&lt;0")</f>
        <v/>
      </c>
      <c r="C7" s="27" t="inlineStr">
        <is>
          <t>Trades fechados com prejuízo.</t>
        </is>
      </c>
    </row>
    <row r="8" ht="24" customHeight="1">
      <c r="A8" s="25" t="inlineStr">
        <is>
          <t>Win Rate</t>
        </is>
      </c>
      <c r="B8" s="28">
        <f>IFERROR(B6/B5,0)</f>
        <v/>
      </c>
      <c r="C8" s="27" t="inlineStr">
        <is>
          <t>% de operações com lucro. NÃO confunda alto win rate com lucratividade.</t>
        </is>
      </c>
    </row>
    <row r="9" ht="24" customHeight="1">
      <c r="A9" s="25" t="inlineStr">
        <is>
          <t>Lucro bruto (R$)</t>
        </is>
      </c>
      <c r="B9" s="29">
        <f>SUMIFS(Operações!$K$5:$K$104,Operações!$O$5:$O$104,"Fechada",Operações!$K$5:$K$104,"&gt;0")</f>
        <v/>
      </c>
      <c r="C9" s="27" t="inlineStr">
        <is>
          <t>Soma de todos os ganhos.</t>
        </is>
      </c>
    </row>
    <row r="10" ht="24" customHeight="1">
      <c r="A10" s="25" t="inlineStr">
        <is>
          <t>Perda bruta (R$)</t>
        </is>
      </c>
      <c r="B10" s="29">
        <f>SUMIFS(Operações!$K$5:$K$104,Operações!$O$5:$O$104,"Fechada",Operações!$K$5:$K$104,"&lt;0")</f>
        <v/>
      </c>
      <c r="C10" s="27" t="inlineStr">
        <is>
          <t>Soma de todas as perdas (negativo).</t>
        </is>
      </c>
    </row>
    <row r="11" ht="24" customHeight="1">
      <c r="A11" s="25" t="inlineStr">
        <is>
          <t>Resultado líquido (R$)</t>
        </is>
      </c>
      <c r="B11" s="29">
        <f>B9+B10</f>
        <v/>
      </c>
      <c r="C11" s="27" t="inlineStr">
        <is>
          <t>Lucro bruto + Perda bruta. Indicador final.</t>
        </is>
      </c>
    </row>
    <row r="12" ht="24" customHeight="1">
      <c r="A12" s="25" t="inlineStr">
        <is>
          <t>Profit Factor</t>
        </is>
      </c>
      <c r="B12" s="30">
        <f>IFERROR(B9/ABS(B10),0)</f>
        <v/>
      </c>
      <c r="C12" s="27" t="inlineStr">
        <is>
          <t>Lucro bruto / |Perda bruta|. &gt;1 = lucrativo. Ideal: &gt;1.5.</t>
        </is>
      </c>
    </row>
    <row r="13" ht="24" customHeight="1">
      <c r="A13" s="25" t="inlineStr">
        <is>
          <t>Ganho médio (R$)</t>
        </is>
      </c>
      <c r="B13" s="29">
        <f>IFERROR(B9/B6,0)</f>
        <v/>
      </c>
      <c r="C13" s="27" t="inlineStr">
        <is>
          <t>Lucro médio por trade vencedor.</t>
        </is>
      </c>
    </row>
    <row r="14" ht="24" customHeight="1">
      <c r="A14" s="25" t="inlineStr">
        <is>
          <t>Perda média (R$)</t>
        </is>
      </c>
      <c r="B14" s="29">
        <f>IFERROR(B10/B7,0)</f>
        <v/>
      </c>
      <c r="C14" s="27" t="inlineStr">
        <is>
          <t>Perda média por trade perdedor.</t>
        </is>
      </c>
    </row>
    <row r="15" ht="24" customHeight="1">
      <c r="A15" s="25" t="inlineStr">
        <is>
          <t>Payoff Ratio</t>
        </is>
      </c>
      <c r="B15" s="30">
        <f>IFERROR(B13/ABS(B14),0)</f>
        <v/>
      </c>
      <c r="C15" s="27" t="inlineStr">
        <is>
          <t>Ganho médio / |Perda média|. &gt;1 = trader cuja média de ganhos supera média de perdas.</t>
        </is>
      </c>
    </row>
    <row r="16" ht="24" customHeight="1">
      <c r="A16" s="25" t="inlineStr">
        <is>
          <t>Expectativa por trade (R$)</t>
        </is>
      </c>
      <c r="B16" s="29">
        <f>(B8*B13)+((1-B8)*B14)</f>
        <v/>
      </c>
      <c r="C16" s="27" t="inlineStr">
        <is>
          <t>Quanto você espera ganhar (ou perder) em cada operação, em média.</t>
        </is>
      </c>
    </row>
    <row r="17" ht="24" customHeight="1">
      <c r="A17" s="25" t="inlineStr">
        <is>
          <t>R-Múltiplo médio</t>
        </is>
      </c>
      <c r="B17" s="30">
        <f>IFERROR(AVERAGEIF(Operações!$O$5:$O$104,"Fechada",Operações!$N$5:$N$104),0)</f>
        <v/>
      </c>
      <c r="C17" s="27" t="inlineStr">
        <is>
          <t>Média do R-múltiplo. &gt;1 indica que retornos médios excedem o risco assumido.</t>
        </is>
      </c>
    </row>
    <row r="18" ht="24" customHeight="1">
      <c r="A18" s="25" t="inlineStr">
        <is>
          <t>Maior ganho individual</t>
        </is>
      </c>
      <c r="B18" s="29">
        <f>MAXIFS(Operações!$K$5:$K$104,Operações!$O$5:$O$104,"Fechada")</f>
        <v/>
      </c>
      <c r="C18" s="27" t="inlineStr">
        <is>
          <t>Maior lucro em uma única operação.</t>
        </is>
      </c>
    </row>
    <row r="19" ht="24" customHeight="1">
      <c r="A19" s="25" t="inlineStr">
        <is>
          <t>Maior perda individual</t>
        </is>
      </c>
      <c r="B19" s="29">
        <f>MINIFS(Operações!$K$5:$K$104,Operações!$O$5:$O$104,"Fechada")</f>
        <v/>
      </c>
      <c r="C19" s="27" t="inlineStr">
        <is>
          <t>Maior prejuízo em uma única operação.</t>
        </is>
      </c>
    </row>
  </sheetData>
  <mergeCells count="2">
    <mergeCell ref="A1:D1"/>
    <mergeCell ref="A2:D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25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70" customWidth="1" min="2" max="2"/>
  </cols>
  <sheetData>
    <row r="1" ht="26" customHeight="1">
      <c r="A1" s="11" t="inlineStr">
        <is>
          <t>Configurações — Listas para validação</t>
        </is>
      </c>
    </row>
    <row r="2">
      <c r="A2" s="13" t="inlineStr">
        <is>
          <t>Ativos</t>
        </is>
      </c>
      <c r="B2" s="13" t="inlineStr">
        <is>
          <t>Dica</t>
        </is>
      </c>
    </row>
    <row r="3">
      <c r="A3" s="15" t="inlineStr">
        <is>
          <t>BTC</t>
        </is>
      </c>
      <c r="B3" s="31" t="inlineStr">
        <is>
          <t>Para adicionar um novo ativo, basta digitar abaixo da última linha.</t>
        </is>
      </c>
    </row>
    <row r="4">
      <c r="A4" s="15" t="inlineStr">
        <is>
          <t>ETH</t>
        </is>
      </c>
      <c r="B4" s="31" t="inlineStr">
        <is>
          <t>A validação na aba Operações busca de A3 até A50 — espaço para até 48 ativos.</t>
        </is>
      </c>
    </row>
    <row r="5">
      <c r="A5" s="15" t="inlineStr">
        <is>
          <t>SOL</t>
        </is>
      </c>
      <c r="B5" s="31" t="inlineStr">
        <is>
          <t>Use sempre o ticker em maiúsculas para padronizar.</t>
        </is>
      </c>
    </row>
    <row r="6">
      <c r="A6" s="15" t="inlineStr">
        <is>
          <t>BNB</t>
        </is>
      </c>
    </row>
    <row r="7">
      <c r="A7" s="15" t="inlineStr">
        <is>
          <t>XRP</t>
        </is>
      </c>
    </row>
    <row r="8">
      <c r="A8" s="15" t="inlineStr">
        <is>
          <t>ADA</t>
        </is>
      </c>
    </row>
    <row r="9">
      <c r="A9" s="15" t="inlineStr">
        <is>
          <t>AVAX</t>
        </is>
      </c>
    </row>
    <row r="10">
      <c r="A10" s="15" t="inlineStr">
        <is>
          <t>DOT</t>
        </is>
      </c>
    </row>
    <row r="11">
      <c r="A11" s="15" t="inlineStr">
        <is>
          <t>MATIC</t>
        </is>
      </c>
    </row>
    <row r="12">
      <c r="A12" s="15" t="inlineStr">
        <is>
          <t>LINK</t>
        </is>
      </c>
    </row>
    <row r="13">
      <c r="A13" s="15" t="inlineStr">
        <is>
          <t>UNI</t>
        </is>
      </c>
    </row>
    <row r="14">
      <c r="A14" s="15" t="inlineStr">
        <is>
          <t>AAVE</t>
        </is>
      </c>
    </row>
    <row r="15">
      <c r="A15" s="15" t="inlineStr">
        <is>
          <t>ATOM</t>
        </is>
      </c>
    </row>
    <row r="16">
      <c r="A16" s="15" t="inlineStr">
        <is>
          <t>LTC</t>
        </is>
      </c>
    </row>
    <row r="17">
      <c r="A17" s="15" t="inlineStr">
        <is>
          <t>DOGE</t>
        </is>
      </c>
    </row>
    <row r="18">
      <c r="A18" s="15" t="inlineStr">
        <is>
          <t>SHIB</t>
        </is>
      </c>
    </row>
    <row r="19">
      <c r="A19" s="15" t="inlineStr">
        <is>
          <t>PEPE</t>
        </is>
      </c>
    </row>
    <row r="20">
      <c r="A20" s="15" t="inlineStr">
        <is>
          <t>WIF</t>
        </is>
      </c>
    </row>
    <row r="21">
      <c r="A21" s="15" t="inlineStr">
        <is>
          <t>ARB</t>
        </is>
      </c>
    </row>
    <row r="22">
      <c r="A22" s="15" t="inlineStr">
        <is>
          <t>OP</t>
        </is>
      </c>
    </row>
    <row r="23">
      <c r="A23" s="15" t="inlineStr">
        <is>
          <t>USDT</t>
        </is>
      </c>
    </row>
    <row r="24">
      <c r="A24" s="15" t="inlineStr">
        <is>
          <t>USDC</t>
        </is>
      </c>
    </row>
    <row r="25">
      <c r="A25" s="15" t="inlineStr">
        <is>
          <t>DAI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AInvesting Pro Academy — Módulo 1</dc:creator>
  <dc:title xmlns:dc="http://purl.org/dc/elements/1.1/">Planilha de Rastreamento — AInvesting Pro Academy</dc:title>
  <dc:subject xmlns:dc="http://purl.org/dc/elements/1.1/">Rastreamento de operações em criptoativos</dc:subject>
  <dcterms:created xmlns:dcterms="http://purl.org/dc/terms/" xmlns:xsi="http://www.w3.org/2001/XMLSchema-instance" xsi:type="dcterms:W3CDTF">2026-05-11T00:25:03Z</dcterms:created>
  <dcterms:modified xmlns:dcterms="http://purl.org/dc/terms/" xmlns:xsi="http://www.w3.org/2001/XMLSchema-instance" xsi:type="dcterms:W3CDTF">2026-05-11T00:25:03Z</dcterms:modified>
  <cp:keywords>trading, cripto, rastreamento, performance, métricas</cp:keywords>
</cp:coreProperties>
</file>